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rms of Use" sheetId="1" r:id="rId4"/>
    <sheet state="visible" name="Services" sheetId="2" r:id="rId5"/>
    <sheet state="visible" name="Midstream" sheetId="3" r:id="rId6"/>
    <sheet state="visible" name="Upstream and Integrated" sheetId="4" r:id="rId7"/>
    <sheet state="visible" name="Downstream" sheetId="5" r:id="rId8"/>
    <sheet state="visible" name="Rankings" sheetId="6" r:id="rId9"/>
    <sheet state="visible" name="Notes" sheetId="7" r:id="rId10"/>
  </sheets>
  <definedNames/>
  <calcPr/>
</workbook>
</file>

<file path=xl/sharedStrings.xml><?xml version="1.0" encoding="utf-8"?>
<sst xmlns="http://schemas.openxmlformats.org/spreadsheetml/2006/main" count="655" uniqueCount="426">
  <si>
    <t>(c) Open Source Strategies, Inc. 2023  All rights reserved.</t>
  </si>
  <si>
    <t>The content of this spreadsheet and its associated content, including but not limited to websites, emails, newsletters, and videos (herein referred to as "Content"), is published in the United States of America and persons who access it agree to do so in accordance with applicable U.S. law.</t>
  </si>
  <si>
    <t>The Content is published for informational purposes only. Nothing in the Content constitutes investment advice, performance data, or any recommendation for any security, portfolio of securities, investment product, transaction or investment strategy is suitable for any specific person. You should not treat any part of the Content as a specific inducement to make a particular investment, purchase or sell any security or asset, or follow a particular strategy. The Content is based upon information deemed reliable, but there are warranties of any kind, express or implied, as to its completeness or accuracy. No party is not under any obligation to update or correct the Content or any information provided. The Content is subject to change without notice.  The Content should not be relied upon as being legal, financial, investment tax, regulatory, business or other professional advice.</t>
  </si>
  <si>
    <t>You may not, without our prior written consent, use any part of the Content to create or incorporate the Content into any
1. investment or financial transaction;
2. index for investing or analysis of investments;
3. fee-based subscription service or database;
4. any other commercial purpose, whether republished, packaged, resold, or to create a derivative based thereupon.</t>
  </si>
  <si>
    <t>Past performance is not indicative of future results. Neither Open Source Strategies, Inc. nor any other author or contributor accepts responsibility or liability with respect to the Content and information contained herein. No party guarantees any specific outcome or profit. You should be aware of the real risk of loss in following any strategy or investment discussed in the Content. Strategies or investments discussed may fluctuate in price or value. Investors may get back less than invested. Investments or strategies mentioned on the Content may not be suitable for you. This material does not take into account your particular investment objectives, financial situation or needs and is not intended as recommendations appropriate for you. You must make an independent decision regarding investments or strategies mentioned in the Content. Before acting on the Content, you should consider whether it is suitable for your particular circumstances and strongly consider seeking advice from your own financial or investment adviser.</t>
  </si>
  <si>
    <t>Some of the links in the Content are affiliate links, meaning, at no additional cost to you, the authors or contributors of the Content may earn a commission if you click through and make a purchase and/or subscribe. This has not influenced the Content as it is written.</t>
  </si>
  <si>
    <t>The authors and contributors of the Content may have financial interests, investments, or other positions in the companies discussed in the Content.</t>
  </si>
  <si>
    <r>
      <rPr>
        <sz val="11.0"/>
      </rPr>
      <t xml:space="preserve">To receive updates or report missing or erroneous data, go to </t>
    </r>
    <r>
      <rPr>
        <color rgb="FF1155CC"/>
        <sz val="11.0"/>
        <u/>
      </rPr>
      <t>SustainableOilGas.com</t>
    </r>
  </si>
  <si>
    <t>Halliburton</t>
  </si>
  <si>
    <t>Schlumberger</t>
  </si>
  <si>
    <t>Baker Hughes</t>
  </si>
  <si>
    <t>Fiscal Year</t>
  </si>
  <si>
    <t>Revenues ($ mm)</t>
  </si>
  <si>
    <t>Financial Strategy - () is negative</t>
  </si>
  <si>
    <t xml:space="preserve">  Operating Cashflows</t>
  </si>
  <si>
    <t xml:space="preserve">  (Capital Expenditures)</t>
  </si>
  <si>
    <t xml:space="preserve">  Asset Sales (Acquisitions)</t>
  </si>
  <si>
    <t xml:space="preserve">  CapEx + Acquisitions / Operating Cashflow - 3 years trailing</t>
  </si>
  <si>
    <t>Emissions (MT CO2e)</t>
  </si>
  <si>
    <t xml:space="preserve">  Scope 1</t>
  </si>
  <si>
    <t xml:space="preserve">  Scope 2</t>
  </si>
  <si>
    <t xml:space="preserve">  Scope 3</t>
  </si>
  <si>
    <t>Total Scope 1 + 2</t>
  </si>
  <si>
    <t>Scope 1 + 2 / Revenue (MT CO2e/$ mm)</t>
  </si>
  <si>
    <t>Scope 3 / Revenue (MT CO2e/$ mm)</t>
  </si>
  <si>
    <t>CH4 Emissions</t>
  </si>
  <si>
    <t>Reporting Standard</t>
  </si>
  <si>
    <t>WRI GHG Protocol</t>
  </si>
  <si>
    <t>Reporting Boundary</t>
  </si>
  <si>
    <t>Operated</t>
  </si>
  <si>
    <t>Operated (believed to be)</t>
  </si>
  <si>
    <t>Global Warming Potential factors</t>
  </si>
  <si>
    <t>IPCC AR6 for 2022 an AR4 for 2018 (base year)</t>
  </si>
  <si>
    <t>IPCC AR5</t>
  </si>
  <si>
    <t>Third Party Review</t>
  </si>
  <si>
    <t xml:space="preserve">KPMG review = Limited assurance.  </t>
  </si>
  <si>
    <t>PWC Limited Assurance</t>
  </si>
  <si>
    <t>KPMG Reasonable Assurance on Scope 1 + 2, Limited Assurance on Scope 3</t>
  </si>
  <si>
    <t>Reported Figures</t>
  </si>
  <si>
    <t>Same.</t>
  </si>
  <si>
    <t>No numbers in assurance report.</t>
  </si>
  <si>
    <t>Targets</t>
  </si>
  <si>
    <t>40% reduction of S1+S2 versus 2018 baseline of 4.2mm MTCO2e By 2035</t>
  </si>
  <si>
    <t>30% S1 + S2 reduction by 2025 vs 2019</t>
  </si>
  <si>
    <t>50% reduction of S1+S2 emissions vs 2019 by 2030</t>
  </si>
  <si>
    <t>50% S1 + S2 reduction by 2030 vs 2019</t>
  </si>
  <si>
    <t>30% S3 reduction by 2030 vs 2019</t>
  </si>
  <si>
    <t>Net zero by 2050</t>
  </si>
  <si>
    <t>Strategy</t>
  </si>
  <si>
    <t>Services centered around wells and drilling.  Targets returning 50% of free cashflow to shareholders.</t>
  </si>
  <si>
    <t>Oil field services (construction, completions, productions) and equipment (natural gas, pumps valves).  Equipment business has long-term contracts.  Overall revenues are very stable.</t>
  </si>
  <si>
    <t>S1 + 2 emissions reduction through efficiency &amp; renewable energy.</t>
  </si>
  <si>
    <t>S1+2 emissions reductions through efficiency, consolidation, &amp; renewable energy</t>
  </si>
  <si>
    <t>Emphasis on natural gas and LNG businesses.  Improving operating margins and "tuck in acquisitions."</t>
  </si>
  <si>
    <t>Customers emissions reduction through well construction, completion, production products.</t>
  </si>
  <si>
    <t>S3 emissions: minimze well construction footprint, new equipment for reducing well methane, electrification</t>
  </si>
  <si>
    <t>Focus on CCS and geothermal for customer businesses</t>
  </si>
  <si>
    <t>CCS</t>
  </si>
  <si>
    <t>geothermal</t>
  </si>
  <si>
    <t>Williams</t>
  </si>
  <si>
    <t>Kinder Morgan</t>
  </si>
  <si>
    <t>ONEOK</t>
  </si>
  <si>
    <t>Targa</t>
  </si>
  <si>
    <t xml:space="preserve">  Debt Issuance (Paid Off)</t>
  </si>
  <si>
    <t xml:space="preserve">  (Dividends)</t>
  </si>
  <si>
    <t xml:space="preserve">  Share Issuance (repurchases) </t>
  </si>
  <si>
    <t xml:space="preserve">  Other distributions</t>
  </si>
  <si>
    <t xml:space="preserve">  Investing Cashflows</t>
  </si>
  <si>
    <t>Combined Transmission Capacity &amp; Gathering Volume (BCF/day)</t>
  </si>
  <si>
    <t>Company BOE throughput (MMBoe/yr)</t>
  </si>
  <si>
    <t>Scope 1 + 2 / (Capacity &amp; Volume) (MT CO2e/BOE)</t>
  </si>
  <si>
    <t>ONE Future Methane Gathering &amp; Boosting</t>
  </si>
  <si>
    <t>ONE Future Methane Processing</t>
  </si>
  <si>
    <t>ONE Future Methane Transmission &amp; Storage</t>
  </si>
  <si>
    <t>The consolidation approach is operational control and includes CO2, CH4 and N2O. Emissions are based on calendar years. Emissions from facilities that are applicable under the U.S. EPA Greenhouse Gas Reporting Program (GHGRP) are calculated using the GHGRP methodology. Emissions from facilities that are not applicable to the GHGRP due to reporting thresholds are calculated referencing GHGRP and ONE Future protocols. Methane emissions from sources that aren’t applicable under the GHGRP are calculated using ONE Future protocol for 2018–2021 only. Data excludes emissions from offshore assets, corporate office buildings and company vehicles. Global Potential Warming rates are 25 for CH4
 and 298 for N2O. No Williams facilities are covered by permits with potential to emit (PTE) limits for greenhouse gases. Williams does not produce biogenic gases from its direct operations. Williams does not produce hydrochlorofluorocarbons, perfluorocarbons, sulfur hexafluoride or nitrogen trifluoride emissions.</t>
  </si>
  <si>
    <t xml:space="preserve">WRI GHG Protocol, SASB, EPA
The Scope 1 emissions reported below include:
• GHG emission sources applicable to the EPA’s GHGRP;
• facilities that are exempt from the EPA’s GHGRP because they emit less than 25,000 metric tons
CO2e/yr; and
• sources that are exempt from the EPA’s GHGRP, such as mobile equipment and refrigerants.
Scope 1 emissions include direct emissions from sources owned or controlled by the reporting company. </t>
  </si>
  <si>
    <t>We report Scope 1 emissions
according to the EPA’s Greenhouse Gas Reporting
Program (GHGRP) from all facilities that ONEOK
operates, including those that do not meet the
reporting threshold for the GHGRP. For Scope
2 emissions, we report emissions annually
attributable to electricity consumption using the
GHG Protocol’s location-based methodology and
EPA published grid data. For Scope 3 emissions,
we report GHG emissions attributable to Subpart
NN - Suppliers of Natural Gas &amp; Natural Gas
Liquids."  Scope 3 is for NGLs only.</t>
  </si>
  <si>
    <t>For this report, we are defining the following
terms with respect to emissions reported
pursuant to EPA’s GHG Mandatory
Reporting Rule:
These emissions are reported annually to the EPA per the requirements of the GHG Mandatory Reporting Rule
5. Scope 1: Targa Facility-direct Emissions are part of Targa’s reported emissions pursuant the USEPA Greenhouse Gas Reporting Rule Subpart C – General
Stationary Fuel Combustion Sources and Subpart W – Petroleum and Natural Gas Systems. Facilities that emit 25,000 metric tons or more per year of GHGs
under Subparts C and W combined are required to report under these rules.</t>
  </si>
  <si>
    <t>IPCC AR4</t>
  </si>
  <si>
    <t>ERM CVS Limited Assurance</t>
  </si>
  <si>
    <t xml:space="preserve">PWC "review" = Limited Assurance.  ~5% to 8% of emissions are estimated with no data available. </t>
  </si>
  <si>
    <t>PWC "review" = Limited Assurance.  Estimates ~2% of emissions.  Scope 3 is only for NGLs not for natural gas.</t>
  </si>
  <si>
    <t>None</t>
  </si>
  <si>
    <t>Natural gas volume of 1640.5 bcf (2019), 1369.3 bcf (2020), and 1281.8 bcf (2021);
NGLs 204.8 billion bbl miles (2019), 154.5 Bbbl-mi (2020), 198 Bbbl-mi (2021)
Scope 1 + 2 Intensity per Thousand BOE: 8.4 (2019); 7.8 (2020); 7.6 (2021)</t>
  </si>
  <si>
    <t>2021 Gathering &amp; Boosting methane intensity 0.167% Processing methane intensity 0.037%
Scope 1 emissions intensity 0.0113 MM mtCO2e per MM BOE
Scope 1 + 2 emissions intensity 8.33 mtCO2e/MBoe</t>
  </si>
  <si>
    <t>Source</t>
  </si>
  <si>
    <r>
      <rPr/>
      <t xml:space="preserve">Page 95, </t>
    </r>
    <r>
      <rPr>
        <color rgb="FF1155CC"/>
        <u/>
      </rPr>
      <t>https://www.williams.com/wp-content/uploads/sites/8/2022/07/Williams_2021SustainabilityReport.pdf</t>
    </r>
  </si>
  <si>
    <t>Page 19,  https://www.kindermorgan.com/WWWKM/media/Safety-Environmental/documents/2021_ESG_Report.pdf</t>
  </si>
  <si>
    <r>
      <rPr/>
      <t xml:space="preserve">Page 14, </t>
    </r>
    <r>
      <rPr>
        <color rgb="FF1155CC"/>
        <u/>
      </rPr>
      <t>https://www.oneok.com/about-us/2021-2022-corporate-sustainability-reporting</t>
    </r>
  </si>
  <si>
    <t>OGMP 2.0 Member</t>
  </si>
  <si>
    <t>EPA Natural Gas Star</t>
  </si>
  <si>
    <t>ONE Future 2025 Methane Intensity Goals</t>
  </si>
  <si>
    <t>ONE Future Methane Intensity targets</t>
  </si>
  <si>
    <t>ONE Future 2025 Methane Intensity</t>
  </si>
  <si>
    <t>ONE Future 2025 Methane Intensity targets</t>
  </si>
  <si>
    <t>Target 1.3 mm T CO2e reduction per year</t>
  </si>
  <si>
    <t xml:space="preserve">2.2 mm MT CO2e S1 + S2 reduction by 2030 (about 1/3) </t>
  </si>
  <si>
    <t>API Environmental Partnership</t>
  </si>
  <si>
    <t>56% reduction in S1+2 GHG by 2030 vs 2005</t>
  </si>
  <si>
    <t>Looking at setting long-term reductions</t>
  </si>
  <si>
    <t>Methane intensity of 0.08% in gathering &amp; boosting segment by 2025</t>
  </si>
  <si>
    <t>Methane intensity of 0.11% in processing segment by 2025</t>
  </si>
  <si>
    <t xml:space="preserve">Full cycle natural gas infrastructure, handles 1/3 of US natural gas volume.  Growing by development and acquisition.  Benefit from switching to natural gas.  </t>
  </si>
  <si>
    <t>Stable, fee-based transportation and storage in US.  Primarily pipelines &amp; storage for natural gas but also petroleum, terminals, CO2.   Develops new pipelines and acquires projects.    Targets 10X ebitda multiple for finished and 8x for development.</t>
  </si>
  <si>
    <t>Focused on natural gas &amp; NGL midstream: gathering, processing, fractionation, transportation, storage in mid US: Permian, Rockys, Mid-Continent.</t>
  </si>
  <si>
    <t>Notes</t>
  </si>
  <si>
    <t>Mostly natural gas and NGLs</t>
  </si>
  <si>
    <t>Gathering and Processing: Take in natural gas at well.  Produce gas and NGL's.  Downstream - Transportation &amp; Logistics - Grand Prix pipeline.</t>
  </si>
  <si>
    <t>Volumes affected by commodity prices.  Long-term fee-based contracts, especially in Downstream businesses, provide stability.</t>
  </si>
  <si>
    <t>How can Scope 1 + 2 emissions intensity be less than Scope 1 emissions intensity?</t>
  </si>
  <si>
    <t>Pioneer</t>
  </si>
  <si>
    <t>Occidental</t>
  </si>
  <si>
    <t>Exxon Mobil</t>
  </si>
  <si>
    <t>Chevron</t>
  </si>
  <si>
    <t>EOG Resources</t>
  </si>
  <si>
    <t>ConocoPhillips</t>
  </si>
  <si>
    <t>Devon</t>
  </si>
  <si>
    <t>Hess</t>
  </si>
  <si>
    <t>Diamondback</t>
  </si>
  <si>
    <t>Coterra</t>
  </si>
  <si>
    <t>APA</t>
  </si>
  <si>
    <t>EQT</t>
  </si>
  <si>
    <t>Southwestern</t>
  </si>
  <si>
    <t>Output (MBOe per day)</t>
  </si>
  <si>
    <t>Output (MMBOe per year)</t>
  </si>
  <si>
    <t xml:space="preserve">     9 - Downstream Transport &amp; Distribution</t>
  </si>
  <si>
    <t xml:space="preserve">     10 - Processing of Sold Products</t>
  </si>
  <si>
    <t xml:space="preserve">     11 - Use of Sold Products</t>
  </si>
  <si>
    <t xml:space="preserve">  Methane emissions</t>
  </si>
  <si>
    <t>Scope 3 9 + 10 + 11</t>
  </si>
  <si>
    <t>Scope 1 + 2 / Revenue (MT CO2e/$ mm) - Equity</t>
  </si>
  <si>
    <t>Scope 3 / Revenue (MT CO2e/$ mm) - Equity</t>
  </si>
  <si>
    <t>Methane intensity (mm MT CO2e/MM BOE)</t>
  </si>
  <si>
    <t>Scope 1 + 2 / Output (MT CO2e/MMBOe) - Equity</t>
  </si>
  <si>
    <t>Scope 3 / Output (MT CO2e/MMBOe) - Equity</t>
  </si>
  <si>
    <t>Reserves</t>
  </si>
  <si>
    <t xml:space="preserve">  Oil (MMbl)</t>
  </si>
  <si>
    <t xml:space="preserve">  Other - NGL, Bitumen, Synthetic Oil (MMbl)</t>
  </si>
  <si>
    <t xml:space="preserve">  Natural Gas (Bcf)</t>
  </si>
  <si>
    <t>Production</t>
  </si>
  <si>
    <t xml:space="preserve">  Oil (Mbl per day)</t>
  </si>
  <si>
    <t xml:space="preserve">  Natural Gas Liquids (Mbl per day)</t>
  </si>
  <si>
    <t xml:space="preserve">  Natural gas (MMcf per day)</t>
  </si>
  <si>
    <t>Operated Production</t>
  </si>
  <si>
    <t>Years of Reserves</t>
  </si>
  <si>
    <t xml:space="preserve">  Oil</t>
  </si>
  <si>
    <t xml:space="preserve">  NGL</t>
  </si>
  <si>
    <t xml:space="preserve">  Natural Gas</t>
  </si>
  <si>
    <t>EPA, IPIECA.  No statement on assets below EPA</t>
  </si>
  <si>
    <t>API, IPIECA, IOGP.  EPA GHG RP.  IR confirmed numbers include all sites regardless of reporting threshold.</t>
  </si>
  <si>
    <t>API, GHG Protocol for Scope 1 + 2</t>
  </si>
  <si>
    <t>API, IPIECA.  Sold volume for Scope 3 Category 11.  Assets below EPA GHG RP reporting boundary?</t>
  </si>
  <si>
    <t>Per IR, "We report gross production in the Sustainability Report and net production in our annual reports (10-Ks)"</t>
  </si>
  <si>
    <t>EPA GHG RP.  Includes assets below reporting threshold.</t>
  </si>
  <si>
    <t>AXPC, API templates.  Large differences between AXPC and API numbers.  No mention of assets not covered by EPA GHG RP.  Assurance covers IPIECA/API and EPA reporting.</t>
  </si>
  <si>
    <t>We include all reportable emissions under EPA’s Greenhouse Gas Reporting Program (GHGRP) for Devon operated facilities, as well as non-reportable emissions from our production assets and, beginning in reporting year 2019, gathering and boosting assets. We calculate emission intensities using gross production as reported under the EPA GHGRP for all reporting segments.</t>
  </si>
  <si>
    <t>EPA GHG Subpart C and W.  No mention of facilities not covered.  Assurance covers WRI GHG Protocol, IPIECA, EPA GHG RP.</t>
  </si>
  <si>
    <t>AXPC ESG Methodology, which references EPA GHG RP Subpart W.  No mention of facilities not covered.</t>
  </si>
  <si>
    <t>Per Sustainability report: Page 21: "Figures listed above include only Scope 1 Subpart W reportable emissions."  "Performance data informed by SASB's Extractives &amp; Minerals Processing Sector:
Oil &amp; Gas - Exploration &amp; Production standard."</t>
  </si>
  <si>
    <t>EPA, ETS, API, IPIECA.  Operated emissions include Scope 1 emissions calculated under applicable regulatory
requirements and boundaries in the U.S. and U.K. For operations within the U.S., Scope 1
emissions include emissions reported to the U.S. Environmental Protection Agency under
Subpart C and Subpart W.</t>
  </si>
  <si>
    <t>Unless otherwise noted, the Scope 1 GHG emissions disclosed throughout our ESG Report include only our EPA Subpart W emissions, and thus, in some cases there may be additional sources of Scope 1 GHG emissions that are not reected because they are not required to be reported to the EPA under Subpart W.
In 2022, we also had emissions from
certain combustion sources that are not required to be reported to the EPA under Subpart W. Such non-Subpart W combustion emissions for 2022 were as follows: (i) EQT Production segment: 37,172 MT CO2e; (ii) Alta Assets Production segment:
98,116 MT CO2e; (iii) EQT Gathering and Boosting segment: 824 MT CO2e; (iv) Alta Assets Gathering and Boosting segment: 3,394 MT CO2e.
Beginning in 2022, we began to calculate our category 11 Scope 3 emissions based on the natural gas and NGLs sales volumes reported in our Annual Report on Form 10-K, which we believe to be the industry standard approach based on
benchmarking we conducted in 2022</t>
  </si>
  <si>
    <t>Mentions IPIECA/API in Appendix of 2021 Sustainability report</t>
  </si>
  <si>
    <t>Operated and equity</t>
  </si>
  <si>
    <t>Operated production</t>
  </si>
  <si>
    <t>Operated only for Scope 1 + 2.  Location-based Scope 2.  Net equity Scope 3 per IPIECA</t>
  </si>
  <si>
    <t>Operated and Equity</t>
  </si>
  <si>
    <t>IPCC AR6 &amp; AR4</t>
  </si>
  <si>
    <t>40 CFR Part 98 Subpart A, same as IPCC AR4 for CH4 and N2O</t>
  </si>
  <si>
    <t>Subpart W conversion factors (IPCC AR4?)</t>
  </si>
  <si>
    <t>ERM CVS Limited Assurance.  Recommendation to improve systems.</t>
  </si>
  <si>
    <t>ERM CVS Limited Assurance.  "nothing has come to our attention to indicate that the following 2019 and 2020
GHG emissions data from Oxy operated assets are not fairly presented in the Reports, in all material respects, with the
reporting criteria."</t>
  </si>
  <si>
    <t>Based on LRQA’s approach nothing has come to our attention that would cause us to believe that ExxonMobil has not, in all material respects: • Met the requirements of the criteria listed above; and • Disclosed accurate and reliable performance data and information as summarized in Table 1 below.</t>
  </si>
  <si>
    <t>Based on the verification process conducted by DNV, we provide a Reasonable Assurance of the GHG Emissions Inventory for Chevron. DNV’s opinion is that the assertion: • is materially correct; • is a fair representation of the GHG emissions information; and • is prepared in accordance with the listed criteria.</t>
  </si>
  <si>
    <t>Yes, but does not say who did it or provide the statement.</t>
  </si>
  <si>
    <t>ERM CVS Limited Assurance " nothing has come to our attention to indicate that:... are not fairly presented, in all material respects, in accordance with the reporting criteria."</t>
  </si>
  <si>
    <t>ERM CVS Limited Assurance: "Based on our activities, as described below, nothing has come to our attention to indicate that the 2021
(absolute) data for the following selected GHG emissions are not fairly presented in the Report, in all material
respects, with the reporting criteria"  "This means that many of the matters discussed
in this report are not, or currently cannot be ascertained to be, “material” as
that term is defined by the U.S. federal securities laws. "</t>
  </si>
  <si>
    <t>Limited assurance by ERM CVS.  "nothing has come to our attention to indicate that the 2021 Report and 2021 GHG emissions are not fairly presented, in all material respects, in accordance
with the reporting criteria"</t>
  </si>
  <si>
    <t>Limited Reviewed by auditors (Grant Thornton).  "The procedures performed in a review vary
in nature and timing from, and are substantially less in extent than, an examination, the objective of which is to obtain reasonable assurance about whether the
Subject Matter is in accordance with the Criteria, in all material respects, in order
to express an opinion. Accordingly, we do not express such an opinion. "  "Based on our review, we are not aware of any material modifications that should
be made to the Subject Matter of Diamondback for the year ended December 31,
2021, in order for it to be in accordance with the Criteria."</t>
  </si>
  <si>
    <t>None.  "This means that many of the matters
discussed in this report are not, or currently cannot be ascertained
to be, “material” as that term is defined by the U.S. federal securities
laws. "</t>
  </si>
  <si>
    <t>None.</t>
  </si>
  <si>
    <t>No figures in assurance report</t>
  </si>
  <si>
    <t>Same figures plus business unit breakdown in assurance report</t>
  </si>
  <si>
    <t xml:space="preserve">Scope 1 95.5mm tCO2e
Scope 2 7.04mm tCO2e (location) 6.5mm tCO2e (market)
OGCI variants using IPCC AR4
in assurance report
</t>
  </si>
  <si>
    <t>Very extensive figures disclosed for operated vs equity, production vs throughput vs sales method of Scope 3.  Operated GHG emissions are higher than Equity GHG emissions.
Intensities:
Upstream oil 25.2 kgCO2e/BOE
Upstream gas 27.5 kgCO2e/BOE
Refining 37 kgCO2e/BOE</t>
  </si>
  <si>
    <t>No numbers in assurance statement, just units of measurement.</t>
  </si>
  <si>
    <t>Scope 1 and 2 emissions as reported in assurance statement.</t>
  </si>
  <si>
    <t>No additional numbers</t>
  </si>
  <si>
    <t>No additional figures provided.</t>
  </si>
  <si>
    <t>Global GHG emissions intensity 2021 13.9 tCO2e/MBoe, 2020 15.9
Global methane emissions intensity 2021 0.3% 2020 0.28%</t>
  </si>
  <si>
    <t>Methane intensity of 0.035%</t>
  </si>
  <si>
    <t>Emissions intensity of 4.56 mt CO2e/mBOE in 2021
Methane emissions intensity 0.055%</t>
  </si>
  <si>
    <t>-50% Scope 1 + 2 Emissions Intensity by 2030 vs 2019</t>
  </si>
  <si>
    <t>Total GHG intensity 0.02 MTCO2e/BOE by 2025</t>
  </si>
  <si>
    <t>-20% to -30% Scope 1 + 2 Emissions Intensity  by 2030 vs 2016</t>
  </si>
  <si>
    <t>Net zero Scope + 2 emissions by 2050, including offsets</t>
  </si>
  <si>
    <t>13.5 GHG intensity rate by 2025</t>
  </si>
  <si>
    <t>Net Zero operational (Scope 1 + 2) by 2050</t>
  </si>
  <si>
    <t>-50% Scope 1 + 2 by 2030 vs 2019</t>
  </si>
  <si>
    <t>-50% Scope 1 + 2 intensity by 2025 vs 2017 to 17 kg/BOE</t>
  </si>
  <si>
    <t>-50% Scope 1 + 2 intensity by 2030 vs 2020</t>
  </si>
  <si>
    <t>Eliminated routine flaring in US in 2021</t>
  </si>
  <si>
    <t>Net zero Scope 1 + 2 emissions by 2025</t>
  </si>
  <si>
    <t>Reduce Scope 1 emissions by 50% by 2035</t>
  </si>
  <si>
    <t>-75% Methane Emissions Intensity by 2030 vs 2019</t>
  </si>
  <si>
    <t>Methane &lt; 0.25% of marketed gas by 2025</t>
  </si>
  <si>
    <t>-40% to -50% reduction in upstream GHG intensity</t>
  </si>
  <si>
    <t>-40% oil production GHG intensity to 24 kg CO2e/BOE by 2028 vs 2016</t>
  </si>
  <si>
    <t>.06% methane emissions by 2025 (achieved in 2021)</t>
  </si>
  <si>
    <t>-40% to -50% Scope 1 + 2 emissions by 2030 vs 2016</t>
  </si>
  <si>
    <t>Net zero Scope 1 + 2 by 2050</t>
  </si>
  <si>
    <t>-50% methane emissions by 2025 vs 2017 to 0.19%</t>
  </si>
  <si>
    <t>End routine flaring by 2025</t>
  </si>
  <si>
    <t>Looking to set new GHG intensity targets in 2023</t>
  </si>
  <si>
    <t>Scope 1 GHG emissions intensity to 160 MT CO2e per BCF of natural gas by 2025</t>
  </si>
  <si>
    <t>Founding member of ONE Future</t>
  </si>
  <si>
    <t>Flaring Intensity to less than 1% of natural gas</t>
  </si>
  <si>
    <t>Zero routine flaring by 2030</t>
  </si>
  <si>
    <t>70% to 80% corporate methane intensity by 2030 vs 2016</t>
  </si>
  <si>
    <t>-26% natural gas production GHG intensity to 24 kg CO2e/boe by 2028 vs 2016</t>
  </si>
  <si>
    <t>zero routine flaring by 2025</t>
  </si>
  <si>
    <t>-10% methane by 2025</t>
  </si>
  <si>
    <t>-65% methane emissions intensity by 2030 vs 2019</t>
  </si>
  <si>
    <t>No routine flaring by 2025</t>
  </si>
  <si>
    <t>Net zero now - buying ACR offset Scope 1 emissions; plans to develop projects</t>
  </si>
  <si>
    <t>Scope 1 methane emissions intensity to 0.02% or less by 2025</t>
  </si>
  <si>
    <t>Zero routine flaring by 2025</t>
  </si>
  <si>
    <t>Reduce total GHG by 3.68 mm MTCO2e by 2024 vs 2021</t>
  </si>
  <si>
    <t>60% to 70% corporate flaring intensity by 2016</t>
  </si>
  <si>
    <t>-53% methane intensity to 2 kgCO2e/BOE by 2028</t>
  </si>
  <si>
    <t>99.8% wellhead gas capture rate in 2022</t>
  </si>
  <si>
    <t>0.5% or lower flaring intensity by 2025</t>
  </si>
  <si>
    <t>ONE Future: 2025 methane emissions &lt; 11% of gross production</t>
  </si>
  <si>
    <t>-70% methane intensity by 2024 vs 2019</t>
  </si>
  <si>
    <t>OGMP 2.0 Gold Star in 2022</t>
  </si>
  <si>
    <t>Operated assets</t>
  </si>
  <si>
    <t>25mm MTCO2e CCUS by 2032</t>
  </si>
  <si>
    <t>World Bank zero routine flaring by 2030</t>
  </si>
  <si>
    <t>-66% flaring GHG intensity to 3 kGCO2e/BOE by 2028 vs 2016</t>
  </si>
  <si>
    <t>Net zero Scope 1 + 2 emissions by 2040</t>
  </si>
  <si>
    <t>Oil Sands Pathways to Net Zero (Canada)</t>
  </si>
  <si>
    <t>No routine flaring by 2030</t>
  </si>
  <si>
    <t>Big difference between operated and equity emissions beginning in 2020.  2021 Scope 1 +2 operated total = 2.9mm equity = 3.8mm</t>
  </si>
  <si>
    <t>Largest producer of MiQ Responsibly Sourced Gas</t>
  </si>
  <si>
    <t>OGMP 2.0 Gold Standard by 2025</t>
  </si>
  <si>
    <t>Net zero S1 + S2 before 2040 (2035)</t>
  </si>
  <si>
    <t>Absolute reduction of corporate emissions by 20% by 2030 vs 2016</t>
  </si>
  <si>
    <t>Developed in house iSense LDAR for methane</t>
  </si>
  <si>
    <t>OGMP 2.0 member</t>
  </si>
  <si>
    <t>Net zero S1 + S2 + S3 before 2050 through CCS</t>
  </si>
  <si>
    <t>Absolute reduction of upstream emissions of 30% by 2030 vs 2016</t>
  </si>
  <si>
    <t>"Portfolio Carbon Intensity" (S1+S2+S3 Category 11) to 71 g CO2e/MJ by 2028, -5% vs 2016</t>
  </si>
  <si>
    <t>Gas Tech Institute Veritas member</t>
  </si>
  <si>
    <t>Absolute flaring reduction of 60% by 2030 vs 2016</t>
  </si>
  <si>
    <t>$10 billion capex for low carbon ($2 billion to lower operational emissions, $8 billion for low carbon ventures)</t>
  </si>
  <si>
    <t>Absolute methane emissions reduction of 70% by 2030 vs 2016</t>
  </si>
  <si>
    <t>Acquired REGI to be second largest renewable fuels producer in US</t>
  </si>
  <si>
    <t>Global Methane Pledge member</t>
  </si>
  <si>
    <t>100 Mbl per day renewable fuels by 2030</t>
  </si>
  <si>
    <t>25 MM T per year CCS and offsets by 2030</t>
  </si>
  <si>
    <t>150 M t per year (green, blue, grey) Hydrogen by 2030</t>
  </si>
  <si>
    <t>40 BLN BTU per day renewable natural gas by 2030</t>
  </si>
  <si>
    <t>Pioneer is focused on Permian assets, returning cash flows to investors, being the low cost operator, and reducng its own Scope 1 and 2 emissions.</t>
  </si>
  <si>
    <t>Company is focused on retiring debt from the Anadarko acquisition while investing in Low Carbon Ventures, which is primarily focused on CCS and natural gas.</t>
  </si>
  <si>
    <t xml:space="preserve">Follows STEPS and internal projections, Exxon continues to invest in new exploration and development globally.  The company believes in CCS, plastics, and biofuels are key growth areas while fuel oil demand falls. </t>
  </si>
  <si>
    <t xml:space="preserve">Chevron continues to replenish its production with reserves while investing in biofuels and reducing operational carbon.  It also targets CCS, hydrogen, offsets, and "other emerging technologies."  Its upstream assets are primarily outside the US, largest being Tengiz.  </t>
  </si>
  <si>
    <t xml:space="preserve">EOG is a decentralized collection of US upstream assets.  Their transition strategy is to lower their own emissions intensity while continuing to operate as an oil &amp; gas company.  Their investment and reserves indicate commitment to oil and gas assets.  Longer term net zero Scope 1 and 2 achieved through CCS and offsets.  </t>
  </si>
  <si>
    <t>As upstream producer, cannot influence energy transition away from hydrocarbons.  Advocates carbon pricing for orderly transition.  Meanwhile company targets high returns in next decade from projects as the low cost/low emissions provider.  Plans to shift capital to lower GHG production, such as Permian basin, as 30% of emissions reduction goal.  Acquired Concho Resources and Shell's Permian assets.  Company is evaluating CCS and H for its own operations.</t>
  </si>
  <si>
    <t>Most of efforts are reducing methane, which takes up a big portion of Sustainability Report.  Reductions in Scope 1 seem to be result of large declines in methane emissions.</t>
  </si>
  <si>
    <t>"We see climate change as the greatest scientific challenge of the 21st century."  Meanwhile Hess plans to reduce operational emissions while investing aggressivley in Guyana.  Perhaps the long-term hope is that new tech (like the Salk Institute plant carbon absorption) will address the climate problem.</t>
  </si>
  <si>
    <t>Diamondback wants to produce the "cleanest" barrels of oil and use offsets.  Its breakeven analysis shows drilling through 2050 under SDS and 2030 under NZE scenarios.</t>
  </si>
  <si>
    <t>The world needs oil.  "There is no world energy crisis; there is a world energy policy crisis."  There are no emissions targets.</t>
  </si>
  <si>
    <t>The world will always need oil and gas.  We think of it as an energy expansion not an energy transition.  Our goal is to be the best producer.  None of the wells will drill today will be producing in 2050 or even 2040.</t>
  </si>
  <si>
    <t>American natural gas produced with high emissions standards is the best solution for reducing emissions vs coal worldwide.  Natural gas will separate from oil and be the sustainability fuel of choice.  Reducing emissions with better pumps and leak detection, etc.  Consolidating (acquiring) more assets to improve their operations/reduce emissions.</t>
  </si>
  <si>
    <t>Chevron's businesses are upstream and downstream (refining)</t>
  </si>
  <si>
    <t>EOG is purely upstream and almost all in the US.</t>
  </si>
  <si>
    <t>~1/3 of production is from outside US</t>
  </si>
  <si>
    <t>Upstream with some midstream and marketing</t>
  </si>
  <si>
    <t>Bakken is biggest operated asset.  Future bet is Guyana where Hess is partner with Exxon.</t>
  </si>
  <si>
    <t>Specializes in Permian fracking (horizontal drilling)</t>
  </si>
  <si>
    <t>Operates in Permian, Marcellus, Anadarko in US</t>
  </si>
  <si>
    <t>Operates in US Permian/Texas, Egypt Western Desert, North Sea; Exploring Suriname; holds blocks in Dominican Republic</t>
  </si>
  <si>
    <t>Pureplay US natural gas upstream in Appalachian (Marcellus) shale primarily.  Spun off midstream assets into EQM.</t>
  </si>
  <si>
    <t>Pureplay US natural gas upstream, in Appalachia and Haynesville.</t>
  </si>
  <si>
    <t>Nearly all production is from hydraulic fracking.</t>
  </si>
  <si>
    <t>Relative high production costs, especially in Alaska</t>
  </si>
  <si>
    <t>Per Sustainability report, company's methane intensity (% of natural gas produced) was 0.31% in 2019, 0.19% in 2020, 0.18% in 2021.  Flaring intensity was 2.21%, 1.48%, and 0.94%</t>
  </si>
  <si>
    <t>Purchased 37.5mm REDD+ offsets from Guyana for minimum of $750mm.  To offset regulatory emissions later?</t>
  </si>
  <si>
    <t>Breakeven is $36 to $59 per barrel.</t>
  </si>
  <si>
    <t>Uses collars for hedging long-term commitments</t>
  </si>
  <si>
    <t>Egypt &gt; US in oil revenues; slightly less than US in total revenues</t>
  </si>
  <si>
    <t>All wells to be certified by Project Canary TrustWell by end of 2022.</t>
  </si>
  <si>
    <t>Their capital goal is 30% after tax return assuming $40 oil and $2.5 natural gas.  "Double premium" wells are those that return 60% or more.</t>
  </si>
  <si>
    <t>Company surveys 100% of facilities with OGI cameras annually, 100% with aircraft twice annually, continuous monitoring at 20% for methane.</t>
  </si>
  <si>
    <t>Much higher production costs in US Bakken vs Guyana, Libya (sold), Denmark (sold)</t>
  </si>
  <si>
    <t>Coterra is mostly natural gas, merged with Cimarex which added to oil.</t>
  </si>
  <si>
    <t>Egypt is very high in emissions: Scope 1 of 4.19mm tCO2e vs 0.892mm in US and 0.915mm tCO2e in UK.  Both methane (flaring, venting, fugitive) and fuel combustion cause this.</t>
  </si>
  <si>
    <t>Eliminated all routine flaring in 2021</t>
  </si>
  <si>
    <t>Exited Western Canada and Barnett Shale, closed on WPX purchase "have made company  more resilient in low oil and natural gas price scenarios."</t>
  </si>
  <si>
    <t>Scenario planning in Sustainability Report 2021</t>
  </si>
  <si>
    <t>Scenario planning in Sustainability Report 2022 - shows breakevens</t>
  </si>
  <si>
    <t>Published first sustainability report in 2022</t>
  </si>
  <si>
    <t>Plans to use offsets to achieve net zero Scope 1 + 2</t>
  </si>
  <si>
    <t>Flaring intensity 5.7% in 2019 to 1.5% in 2021, with goal of &lt;1% in 2022</t>
  </si>
  <si>
    <t>Breakeven of $40/bbl oil and $2.25/MMBTU natural gas</t>
  </si>
  <si>
    <t>Uses large amount of hedges</t>
  </si>
  <si>
    <t>Adding with several big acquisitions (&gt; $1 billion)</t>
  </si>
  <si>
    <t>Analyzed STEPS and SDS</t>
  </si>
  <si>
    <t>Cost to reduce emissions is only $6/tCO2e through operations improvements, efficiencies, pump replacements, electrification</t>
  </si>
  <si>
    <t>Daily and annual production volumes not consistent; asked IR</t>
  </si>
  <si>
    <t>D</t>
  </si>
  <si>
    <t>Marathon Petroleum</t>
  </si>
  <si>
    <t>Phillips 66</t>
  </si>
  <si>
    <t>Valero</t>
  </si>
  <si>
    <t>Neste</t>
  </si>
  <si>
    <t>Scope 1 + 2 / Output (MT CO2e/MMBOe)</t>
  </si>
  <si>
    <t>Scope 3 / Output (MT CO2e/MMBOe)</t>
  </si>
  <si>
    <t>Throughput</t>
  </si>
  <si>
    <t xml:space="preserve">  Refining - M BPD</t>
  </si>
  <si>
    <t xml:space="preserve">  Renewable Diesel - M Galons Per Day</t>
  </si>
  <si>
    <t xml:space="preserve">  Ethanol </t>
  </si>
  <si>
    <t xml:space="preserve">  Renewable Diesel and SAF, tons per year</t>
  </si>
  <si>
    <t xml:space="preserve">  Oil, tons per year</t>
  </si>
  <si>
    <t>WRI GHG Protocol; IPIECA Scope 3</t>
  </si>
  <si>
    <t>Operated.  Include WRB Refining, Excel Paralubes.  Exclude CP Chem, DCP Midstream.</t>
  </si>
  <si>
    <t>Operated - all 15 refineries.</t>
  </si>
  <si>
    <t>Financial control</t>
  </si>
  <si>
    <t>LRQA Limited Assurance</t>
  </si>
  <si>
    <t>EY Limited Assurance</t>
  </si>
  <si>
    <t>KPMG Limited Assurance</t>
  </si>
  <si>
    <t>Numbers same as above
Refining Scope 1 + 2 Intensity 29.3 tCO2e/MBOE throughput
Gathering&amp;Processing  Scope 1 + 2 Intensity 11.5 tCO2e/MBOE throughput
Total Scope 1 + 2 Intensity 22.9 tCO2e/MBOE throughput
per LRQA Limited Assurance Statement</t>
  </si>
  <si>
    <t>Scope 1 30.1mm MT CO2e
Scope 2 5.4mm MT CO2e
Scope 3 Category 11 382 mm MT CO2e
Scope 1 + 2 Intensity 36.5 tCO2e/MBOE
Scope 3 Category 11 Intensity 380 tCO2e/MBOE
per EY Limited Assurance</t>
  </si>
  <si>
    <t>Numbers about same as above
No intensity figures given
per LRQA Limited Assurance Statement</t>
  </si>
  <si>
    <t>Same as above</t>
  </si>
  <si>
    <t>30% reduction of Scope 1 + 2 emissions intensity by 2030 vs 2014</t>
  </si>
  <si>
    <t>-50% Scope 1 + 2 intensity by 2050 vs 2019</t>
  </si>
  <si>
    <t>-63% Scope 1 + 2 GHG by 2025 vs 2011</t>
  </si>
  <si>
    <t>-50% Scope 1 + 2 GHG by 2030 vs 2019</t>
  </si>
  <si>
    <t>15% reduction of Scope 3 Category 11 emissions by 2030 from 2019</t>
  </si>
  <si>
    <t>-30% Scope 1 + 2 intensity by 2030 vs 2019</t>
  </si>
  <si>
    <t>-100% Scope 1 + 2 GHG by 2035 vs 2011</t>
  </si>
  <si>
    <t>-100% Scope 1 + 2 by 2035</t>
  </si>
  <si>
    <t>50% reduction of methane emissions intensity by 2025 vs 2016</t>
  </si>
  <si>
    <t>-15% Scope 3 intensity by 2030 vs 2019</t>
  </si>
  <si>
    <t>-50% Scope 3 Use (Category 11) by 2040 vs 2050</t>
  </si>
  <si>
    <t>75% reduction of methane emissions intensity by 2030 vs 2016</t>
  </si>
  <si>
    <t>End oil refining at Porvoo ~2035</t>
  </si>
  <si>
    <t xml:space="preserve">Marathon is a refiner and midstream (through MPLX).  They are investing in natural gas and biofuels refining as part of their transition strategy.  15% reduction in Scope 3 means some significant combination of biofuels (-50%) or natural gas (-25%).  </t>
  </si>
  <si>
    <t>Similar strategy as Marathon, Phillips 66 is looking to invest in Renewable fuels/SAF, in addition to plastics, hydrogen, CCS.  Not as definite in its goals..</t>
  </si>
  <si>
    <t>Valero is a pure play refiner.  Their focus is on renewable diesel, low carbon fuels, with additional CCS from refineries to get to zero emissions.  They are big buyers of LCFS credits and use that as part of their emissions goals.</t>
  </si>
  <si>
    <t>Transition to SAF, Renewable diesel with used cooking oil, animal fats</t>
  </si>
  <si>
    <t>Delivered 2.4 billion gallons of renewable fuel (60 mm bbl)</t>
  </si>
  <si>
    <t>Businesses are refining, pipelines, marketing, NGL well-to-market, and chemicals.  Large network of retail stations.</t>
  </si>
  <si>
    <t>Refiner with 15 refineries, 12 ethanol plants, 50% ownership of reneawble diesel</t>
  </si>
  <si>
    <t>Renewable and SAF EBITDA 1328 (2022) 1950 (2021)
Oil EBITDA 1619 (2022) 546 (2021)</t>
  </si>
  <si>
    <t xml:space="preserve">Needs a $10 refining (finished - crude) margin to break even </t>
  </si>
  <si>
    <t>Buys credits in LCFS and EPA RINs,  Cost $1.5, $2.1, and $0.767 bln in 2022, 2021, 2020</t>
  </si>
  <si>
    <t>Also produces plastic feedstock from non-fossil fuel sources</t>
  </si>
  <si>
    <t>Company reports S1+S2 intensity of 37.3 in 2020 and 37.5 in 2021; S3 intensity of 374 in 2020 and 366 in 2021</t>
  </si>
  <si>
    <t>Net scope 3 intensity of fuel is 266 kg CO2e/bbl (2022 Sustainability Report page 36)</t>
  </si>
  <si>
    <t>Reports 57 gCO2e/MJ use phase intensity</t>
  </si>
  <si>
    <t>Case for renewable fuels vs EV's in Sustainability Report</t>
  </si>
  <si>
    <t>Capacity: 274K BPD Oil Refining
69K BPD Renewable Diesel and SAF</t>
  </si>
  <si>
    <t>Score</t>
  </si>
  <si>
    <t>Denial</t>
  </si>
  <si>
    <t>Seriously Lagging</t>
  </si>
  <si>
    <t>Below Average</t>
  </si>
  <si>
    <t>Average</t>
  </si>
  <si>
    <t>Above Average</t>
  </si>
  <si>
    <t>Star</t>
  </si>
  <si>
    <t>Scoring is based approximately on a curve: top 10% gets 5, next 20% get 4, next 50% get 3, next 20% get 2, last 10% gets 1; but not exactly because measurements are not so' precise.</t>
  </si>
  <si>
    <t>Compliant</t>
  </si>
  <si>
    <t>Some progress</t>
  </si>
  <si>
    <t>Outperforming peers.  Strong energy transition performance sets up for premium acquisition.</t>
  </si>
  <si>
    <t>Long term sustainable through energy transition</t>
  </si>
  <si>
    <t>Areas</t>
  </si>
  <si>
    <t>Weight</t>
  </si>
  <si>
    <t>Disclosures</t>
  </si>
  <si>
    <t>Bare minimal - Scope 1 &amp; 2 only.  EPA Mandatory Reporting only.  No 3rd party assurance.</t>
  </si>
  <si>
    <t>Scope 1, 2 only.  3rd party assurance.</t>
  </si>
  <si>
    <t>Scope 1, 2, 3.11 - Use of Products.  API/IPIECA.  Limited assurance by 3rd party.</t>
  </si>
  <si>
    <t>Scope 1, 2, 3.11.  API/IPIECA.  Reasonable assurance by 3rd party or Full Scope 3 disclosure.</t>
  </si>
  <si>
    <t>Full Scopes 1, 2, 3.  Advanced monitoring (ie CH4).  Reasonable assurance by 3rd party.</t>
  </si>
  <si>
    <t>Disclosures are very important and indicative of where the company is headed.  IPIECA/API includes all but de minis sources of emissions.  AEXPC and EPA Reporting does not include facilities below 25,000 tCO2e per year.</t>
  </si>
  <si>
    <t>Does not believe it's an issue.</t>
  </si>
  <si>
    <t>Thinking about it.</t>
  </si>
  <si>
    <t>Moderate operational improvements (Scope 1 &amp; 2).  High capex to add reserves.</t>
  </si>
  <si>
    <t>Average operational (Scope 1 &amp; 2) improvements.  Capex to replenish resolves.</t>
  </si>
  <si>
    <t xml:space="preserve">Aggressive operational (Scope 1 &amp; 2) improvements.  Some Scope 3 reduction targets.  Returning capital, lowering costs.  </t>
  </si>
  <si>
    <t>Executing transition strategy: Aggressive operational (Scope 1 &amp; 2) improvements. CCS, Renewables, Biofuels strategy for zero carbon economy.</t>
  </si>
  <si>
    <t>"A fool with a plan can beat a genius with no plan " - T Boone Pickens.  
"Everyone has a plan until they get punched in the mouth." - Mike Tyson</t>
  </si>
  <si>
    <t>Operations</t>
  </si>
  <si>
    <t xml:space="preserve">High GHG Intensity.  </t>
  </si>
  <si>
    <t>Average GHG Intensity.</t>
  </si>
  <si>
    <t>Lowest GHG Intensity.</t>
  </si>
  <si>
    <t xml:space="preserve">Results count the most.  For Upstream and Integrated, the Operations are 2/3 emissions intensity and 1/3 methane intensity.  </t>
  </si>
  <si>
    <t>Market Position</t>
  </si>
  <si>
    <t>High emissions Upstream Oil Only assets.  Assets in risky foreign countries.</t>
  </si>
  <si>
    <t>Upstream only with assets in producing countries.</t>
  </si>
  <si>
    <t>Mix of oil and gas.  
Integrated.
Upstream assets in key markets (ie USA)</t>
  </si>
  <si>
    <t>Natural gas, chemicals/NGL.  Refineries.  Pipelines.</t>
  </si>
  <si>
    <t xml:space="preserve">Services.  </t>
  </si>
  <si>
    <t>Some sectors of the industries are better positioned than others.</t>
  </si>
  <si>
    <t>Company</t>
  </si>
  <si>
    <t>Segment</t>
  </si>
  <si>
    <t>Composite Score</t>
  </si>
  <si>
    <t>Services</t>
  </si>
  <si>
    <t xml:space="preserve">Benefits from industry investments in transition. </t>
  </si>
  <si>
    <t>Strong market segment, energy transition strategy, and disclosures.</t>
  </si>
  <si>
    <t>Long-term service contracts help stabilize revenue.  Good disclosures.  Strong market segment.</t>
  </si>
  <si>
    <t>Midstream</t>
  </si>
  <si>
    <t>Higher emissions per dollar leads to lower score for Operations</t>
  </si>
  <si>
    <t>ONEOK has low emissions per dollar but higher emissions per throughput, probably because it has more NGL's vs pipeline</t>
  </si>
  <si>
    <t>Upstream</t>
  </si>
  <si>
    <t>Strong operating results, emissions monitoring.</t>
  </si>
  <si>
    <t>Integrated</t>
  </si>
  <si>
    <t xml:space="preserve">Most aggressive strategy for transition.  </t>
  </si>
  <si>
    <t>ExxonMobil</t>
  </si>
  <si>
    <t xml:space="preserve">Best disclosures.  </t>
  </si>
  <si>
    <t>EOG</t>
  </si>
  <si>
    <t>A strong company.  If only their disclosures met the criteria of 3rd party review.</t>
  </si>
  <si>
    <t>Downstream</t>
  </si>
  <si>
    <t>IPIECA: "The definition of Scope 1 emissions applies to sources in assets that are managed by the reporting units of the company."  Section 6.5 deals with de minis emissions.  In general all sources of emissions must be included.</t>
  </si>
  <si>
    <t>APX ESG: "Scope 1 GHG emissions (metric tons
CO2e) as reported under the EPA
Greenhouse Gas Reporting Program
(Subpart W) "</t>
  </si>
  <si>
    <t>Reasonable assurance is audit quality where the reviewer believes the numbers are materially correct.</t>
  </si>
  <si>
    <t>Limited assurance is lower level where reviewer is not aware of any objections.</t>
  </si>
  <si>
    <r>
      <rPr/>
      <t xml:space="preserve">See </t>
    </r>
    <r>
      <rPr>
        <color rgb="FF1155CC"/>
        <u/>
      </rPr>
      <t>https://tax.thomsonreuters.com/news/sec-getting-lots-of-questions-on-assurance-part-of-climate-proposal-senior-official-says/</t>
    </r>
  </si>
</sst>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quot;$&quot;#,##0.00"/>
    <numFmt numFmtId="165" formatCode="&quot;$&quot;#,##0"/>
    <numFmt numFmtId="166" formatCode="0.0%"/>
    <numFmt numFmtId="167" formatCode="#,##0.0"/>
    <numFmt numFmtId="168" formatCode="#,##0.0000"/>
    <numFmt numFmtId="169" formatCode="0.000%"/>
    <numFmt numFmtId="170" formatCode="0.0"/>
    <numFmt numFmtId="171" formatCode="0.000000%"/>
  </numFmts>
  <fonts count="8">
    <font>
      <sz val="10.0"/>
      <color rgb="FF000000"/>
      <name val="Arial"/>
      <scheme val="minor"/>
    </font>
    <font>
      <sz val="11.0"/>
      <color theme="1"/>
      <name val="Arial"/>
      <scheme val="minor"/>
    </font>
    <font>
      <sz val="11.0"/>
      <color rgb="FF1F2328"/>
      <name val="Arial"/>
      <scheme val="minor"/>
    </font>
    <font>
      <u/>
      <sz val="11.0"/>
      <color rgb="FF0000FF"/>
    </font>
    <font>
      <color theme="1"/>
      <name val="Arial"/>
      <scheme val="minor"/>
    </font>
    <font>
      <u/>
      <color rgb="FF0000FF"/>
    </font>
    <font>
      <b/>
      <color theme="1"/>
      <name val="Arial"/>
      <scheme val="minor"/>
    </font>
    <font>
      <color rgb="FF000000"/>
      <name val="Arial"/>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2" fontId="2" numFmtId="0" xfId="0" applyAlignment="1" applyFill="1" applyFont="1">
      <alignment readingOrder="0" shrinkToFit="0" wrapText="1"/>
    </xf>
    <xf borderId="0" fillId="0" fontId="1" numFmtId="0" xfId="0" applyAlignment="1" applyFont="1">
      <alignment shrinkToFit="0" wrapText="1"/>
    </xf>
    <xf borderId="0" fillId="2" fontId="2" numFmtId="0" xfId="0" applyAlignment="1" applyFont="1">
      <alignment shrinkToFit="0" wrapText="1"/>
    </xf>
    <xf borderId="0" fillId="0" fontId="3" numFmtId="0" xfId="0" applyAlignment="1" applyFont="1">
      <alignment readingOrder="0"/>
    </xf>
    <xf borderId="0" fillId="0" fontId="4" numFmtId="0" xfId="0" applyAlignment="1" applyFont="1">
      <alignment readingOrder="0"/>
    </xf>
    <xf borderId="0" fillId="0" fontId="4" numFmtId="164" xfId="0" applyAlignment="1" applyFont="1" applyNumberFormat="1">
      <alignment readingOrder="0"/>
    </xf>
    <xf borderId="0" fillId="0" fontId="4" numFmtId="164" xfId="0" applyFont="1" applyNumberFormat="1"/>
    <xf borderId="0" fillId="0" fontId="4" numFmtId="165" xfId="0" applyAlignment="1" applyFont="1" applyNumberFormat="1">
      <alignment readingOrder="0"/>
    </xf>
    <xf borderId="0" fillId="0" fontId="4" numFmtId="0" xfId="0" applyFont="1"/>
    <xf borderId="0" fillId="0" fontId="4" numFmtId="166" xfId="0" applyFont="1" applyNumberFormat="1"/>
    <xf borderId="0" fillId="0" fontId="4" numFmtId="3" xfId="0" applyAlignment="1" applyFont="1" applyNumberFormat="1">
      <alignment readingOrder="0"/>
    </xf>
    <xf borderId="0" fillId="0" fontId="4" numFmtId="3" xfId="0" applyFont="1" applyNumberFormat="1"/>
    <xf borderId="0" fillId="0" fontId="4" numFmtId="4" xfId="0" applyFont="1" applyNumberFormat="1"/>
    <xf borderId="0" fillId="0" fontId="4" numFmtId="165" xfId="0" applyFont="1" applyNumberFormat="1"/>
    <xf borderId="0" fillId="0" fontId="4" numFmtId="167" xfId="0" applyFont="1" applyNumberFormat="1"/>
    <xf borderId="0" fillId="0" fontId="4" numFmtId="168" xfId="0" applyFont="1" applyNumberFormat="1"/>
    <xf borderId="0" fillId="0" fontId="4" numFmtId="169" xfId="0" applyAlignment="1" applyFont="1" applyNumberFormat="1">
      <alignment readingOrder="0"/>
    </xf>
    <xf borderId="0" fillId="0" fontId="4" numFmtId="10" xfId="0" applyAlignment="1" applyFont="1" applyNumberFormat="1">
      <alignment readingOrder="0"/>
    </xf>
    <xf borderId="0" fillId="0" fontId="4" numFmtId="0" xfId="0" applyAlignment="1" applyFont="1">
      <alignment readingOrder="0"/>
    </xf>
    <xf borderId="0" fillId="0" fontId="5" numFmtId="0" xfId="0" applyAlignment="1" applyFont="1">
      <alignment readingOrder="0"/>
    </xf>
    <xf borderId="0" fillId="0" fontId="4" numFmtId="9" xfId="0" applyAlignment="1" applyFont="1" applyNumberFormat="1">
      <alignment readingOrder="0"/>
    </xf>
    <xf borderId="0" fillId="0" fontId="4" numFmtId="9" xfId="0" applyFont="1" applyNumberFormat="1"/>
    <xf borderId="0" fillId="0" fontId="4" numFmtId="10" xfId="0" applyFont="1" applyNumberFormat="1"/>
    <xf borderId="0" fillId="0" fontId="4" numFmtId="170" xfId="0" applyFont="1" applyNumberFormat="1"/>
    <xf borderId="0" fillId="0" fontId="4" numFmtId="1" xfId="0" applyFont="1" applyNumberFormat="1"/>
    <xf borderId="0" fillId="0" fontId="4" numFmtId="171" xfId="0" applyFont="1" applyNumberFormat="1"/>
    <xf borderId="0" fillId="0" fontId="6" numFmtId="0" xfId="0" applyAlignment="1" applyFont="1">
      <alignment readingOrder="0"/>
    </xf>
    <xf borderId="0" fillId="0" fontId="6" numFmtId="0" xfId="0" applyFont="1"/>
    <xf borderId="0" fillId="2" fontId="7" numFmtId="0" xfId="0" applyAlignment="1" applyFont="1">
      <alignment horizontal="left" readingOrder="0" shrinkToFit="0" wrapText="1"/>
    </xf>
    <xf borderId="0" fillId="0" fontId="4" numFmtId="0" xfId="0" applyAlignment="1" applyFont="1">
      <alignment shrinkToFit="0" wrapText="1"/>
    </xf>
    <xf borderId="0" fillId="0" fontId="4" numFmtId="0" xfId="0" applyAlignment="1" applyFont="1">
      <alignment readingOrder="0" shrinkToFit="0" wrapText="1"/>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ustainableoilgas.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williams.com/wp-content/uploads/sites/8/2022/07/Williams_2021SustainabilityReport.pdf" TargetMode="External"/><Relationship Id="rId2" Type="http://schemas.openxmlformats.org/officeDocument/2006/relationships/hyperlink" Target="https://www.kindermorgan.com/WWWKM/media/Safety-Environmental/documents/2021_ESG_Report.pdf" TargetMode="External"/><Relationship Id="rId3" Type="http://schemas.openxmlformats.org/officeDocument/2006/relationships/hyperlink" Target="https://www.oneok.com/about-us/2021-2022-corporate-sustainability-reporting"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tax.thomsonreuters.com/news/sec-getting-lots-of-questions-on-assurance-part-of-climate-proposal-senior-official-says/" TargetMode="External"/><Relationship Id="rId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2.25"/>
  </cols>
  <sheetData>
    <row r="1">
      <c r="A1" s="1" t="s">
        <v>0</v>
      </c>
      <c r="B1" s="2"/>
      <c r="C1" s="2"/>
      <c r="D1" s="2"/>
      <c r="E1" s="2"/>
      <c r="F1" s="2"/>
      <c r="G1" s="2"/>
      <c r="H1" s="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4"/>
      <c r="C3" s="4"/>
      <c r="D3" s="4"/>
      <c r="E3" s="4"/>
      <c r="F3" s="4"/>
      <c r="G3" s="4"/>
      <c r="H3" s="4"/>
      <c r="I3" s="4"/>
      <c r="J3" s="4"/>
      <c r="K3" s="4"/>
      <c r="L3" s="4"/>
      <c r="M3" s="4"/>
      <c r="N3" s="4"/>
      <c r="O3" s="4"/>
      <c r="P3" s="4"/>
      <c r="Q3" s="4"/>
      <c r="R3" s="4"/>
      <c r="S3" s="4"/>
      <c r="T3" s="4"/>
      <c r="U3" s="4"/>
      <c r="V3" s="4"/>
      <c r="W3" s="4"/>
      <c r="X3" s="4"/>
      <c r="Y3" s="4"/>
      <c r="Z3" s="4"/>
    </row>
    <row r="4">
      <c r="A4" s="5"/>
      <c r="B4" s="4"/>
      <c r="C4" s="4"/>
      <c r="D4" s="4"/>
      <c r="E4" s="4"/>
      <c r="F4" s="4"/>
      <c r="G4" s="4"/>
      <c r="H4" s="4"/>
      <c r="I4" s="4"/>
      <c r="J4" s="4"/>
      <c r="K4" s="4"/>
      <c r="L4" s="4"/>
      <c r="M4" s="4"/>
      <c r="N4" s="4"/>
      <c r="O4" s="4"/>
      <c r="P4" s="4"/>
      <c r="Q4" s="4"/>
      <c r="R4" s="4"/>
      <c r="S4" s="4"/>
      <c r="T4" s="4"/>
      <c r="U4" s="4"/>
      <c r="V4" s="4"/>
      <c r="W4" s="4"/>
      <c r="X4" s="4"/>
      <c r="Y4" s="4"/>
      <c r="Z4" s="4"/>
    </row>
    <row r="5">
      <c r="A5" s="3" t="s">
        <v>2</v>
      </c>
      <c r="B5" s="4"/>
      <c r="C5" s="4"/>
      <c r="D5" s="4"/>
      <c r="E5" s="4"/>
      <c r="F5" s="4"/>
      <c r="G5" s="4"/>
      <c r="H5" s="4"/>
      <c r="I5" s="4"/>
      <c r="J5" s="4"/>
      <c r="K5" s="4"/>
      <c r="L5" s="4"/>
      <c r="M5" s="4"/>
      <c r="N5" s="4"/>
      <c r="O5" s="4"/>
      <c r="P5" s="4"/>
      <c r="Q5" s="4"/>
      <c r="R5" s="4"/>
      <c r="S5" s="4"/>
      <c r="T5" s="4"/>
      <c r="U5" s="4"/>
      <c r="V5" s="4"/>
      <c r="W5" s="4"/>
      <c r="X5" s="4"/>
      <c r="Y5" s="4"/>
      <c r="Z5" s="4"/>
    </row>
    <row r="6">
      <c r="A6" s="5"/>
      <c r="B6" s="4"/>
      <c r="C6" s="4"/>
      <c r="D6" s="4"/>
      <c r="E6" s="4"/>
      <c r="F6" s="4"/>
      <c r="G6" s="4"/>
      <c r="H6" s="4"/>
      <c r="I6" s="4"/>
      <c r="J6" s="4"/>
      <c r="K6" s="4"/>
      <c r="L6" s="4"/>
      <c r="M6" s="4"/>
      <c r="N6" s="4"/>
      <c r="O6" s="4"/>
      <c r="P6" s="4"/>
      <c r="Q6" s="4"/>
      <c r="R6" s="4"/>
      <c r="S6" s="4"/>
      <c r="T6" s="4"/>
      <c r="U6" s="4"/>
      <c r="V6" s="4"/>
      <c r="W6" s="4"/>
      <c r="X6" s="4"/>
      <c r="Y6" s="4"/>
      <c r="Z6" s="4"/>
    </row>
    <row r="7">
      <c r="A7" s="3" t="s">
        <v>3</v>
      </c>
      <c r="B7" s="4"/>
      <c r="C7" s="4"/>
      <c r="D7" s="4"/>
      <c r="E7" s="4"/>
      <c r="F7" s="4"/>
      <c r="G7" s="4"/>
      <c r="H7" s="4"/>
      <c r="I7" s="4"/>
      <c r="J7" s="4"/>
      <c r="K7" s="4"/>
      <c r="L7" s="4"/>
      <c r="M7" s="4"/>
      <c r="N7" s="4"/>
      <c r="O7" s="4"/>
      <c r="P7" s="4"/>
      <c r="Q7" s="4"/>
      <c r="R7" s="4"/>
      <c r="S7" s="4"/>
      <c r="T7" s="4"/>
      <c r="U7" s="4"/>
      <c r="V7" s="4"/>
      <c r="W7" s="4"/>
      <c r="X7" s="4"/>
      <c r="Y7" s="4"/>
      <c r="Z7" s="4"/>
    </row>
    <row r="8">
      <c r="A8" s="3"/>
      <c r="B8" s="4"/>
      <c r="C8" s="4"/>
      <c r="D8" s="4"/>
      <c r="E8" s="4"/>
      <c r="F8" s="4"/>
      <c r="G8" s="4"/>
      <c r="H8" s="4"/>
      <c r="I8" s="4"/>
      <c r="J8" s="4"/>
      <c r="K8" s="4"/>
      <c r="L8" s="4"/>
      <c r="M8" s="4"/>
      <c r="N8" s="4"/>
      <c r="O8" s="4"/>
      <c r="P8" s="4"/>
      <c r="Q8" s="4"/>
      <c r="R8" s="4"/>
      <c r="S8" s="4"/>
      <c r="T8" s="4"/>
      <c r="U8" s="4"/>
      <c r="V8" s="4"/>
      <c r="W8" s="4"/>
      <c r="X8" s="4"/>
      <c r="Y8" s="4"/>
      <c r="Z8" s="4"/>
    </row>
    <row r="9">
      <c r="A9" s="3" t="s">
        <v>4</v>
      </c>
      <c r="B9" s="4"/>
      <c r="C9" s="4"/>
      <c r="D9" s="4"/>
      <c r="E9" s="4"/>
      <c r="F9" s="4"/>
      <c r="G9" s="4"/>
      <c r="H9" s="4"/>
      <c r="I9" s="4"/>
      <c r="J9" s="4"/>
      <c r="K9" s="4"/>
      <c r="L9" s="4"/>
      <c r="M9" s="4"/>
      <c r="N9" s="4"/>
      <c r="O9" s="4"/>
      <c r="P9" s="4"/>
      <c r="Q9" s="4"/>
      <c r="R9" s="4"/>
      <c r="S9" s="4"/>
      <c r="T9" s="4"/>
      <c r="U9" s="4"/>
      <c r="V9" s="4"/>
      <c r="W9" s="4"/>
      <c r="X9" s="4"/>
      <c r="Y9" s="4"/>
      <c r="Z9" s="4"/>
    </row>
    <row r="10">
      <c r="A10" s="5"/>
      <c r="B10" s="4"/>
      <c r="C10" s="4"/>
      <c r="D10" s="4"/>
      <c r="E10" s="4"/>
      <c r="F10" s="4"/>
      <c r="G10" s="4"/>
      <c r="H10" s="4"/>
      <c r="I10" s="4"/>
      <c r="J10" s="4"/>
      <c r="K10" s="4"/>
      <c r="L10" s="4"/>
      <c r="M10" s="4"/>
      <c r="N10" s="4"/>
      <c r="O10" s="4"/>
      <c r="P10" s="4"/>
      <c r="Q10" s="4"/>
      <c r="R10" s="4"/>
      <c r="S10" s="4"/>
      <c r="T10" s="4"/>
      <c r="U10" s="4"/>
      <c r="V10" s="4"/>
      <c r="W10" s="4"/>
      <c r="X10" s="4"/>
      <c r="Y10" s="4"/>
      <c r="Z10" s="4"/>
    </row>
    <row r="11">
      <c r="A11" s="3" t="s">
        <v>5</v>
      </c>
      <c r="B11" s="4"/>
      <c r="C11" s="4"/>
      <c r="D11" s="4"/>
      <c r="E11" s="4"/>
      <c r="F11" s="4"/>
      <c r="G11" s="4"/>
      <c r="H11" s="4"/>
      <c r="I11" s="4"/>
      <c r="J11" s="4"/>
      <c r="K11" s="4"/>
      <c r="L11" s="4"/>
      <c r="M11" s="4"/>
      <c r="N11" s="4"/>
      <c r="O11" s="4"/>
      <c r="P11" s="4"/>
      <c r="Q11" s="4"/>
      <c r="R11" s="4"/>
      <c r="S11" s="4"/>
      <c r="T11" s="4"/>
      <c r="U11" s="4"/>
      <c r="V11" s="4"/>
      <c r="W11" s="4"/>
      <c r="X11" s="4"/>
      <c r="Y11" s="4"/>
      <c r="Z11" s="4"/>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1" t="s">
        <v>6</v>
      </c>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6" t="s">
        <v>7</v>
      </c>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hyperlinks>
    <hyperlink r:id="rId1" ref="A15"/>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5"/>
    <col customWidth="1" min="5" max="5" width="12.88"/>
  </cols>
  <sheetData>
    <row r="1">
      <c r="B1" s="7" t="s">
        <v>8</v>
      </c>
      <c r="C1" s="7" t="s">
        <v>8</v>
      </c>
      <c r="D1" s="7" t="s">
        <v>8</v>
      </c>
      <c r="E1" s="7" t="s">
        <v>8</v>
      </c>
      <c r="F1" s="7" t="s">
        <v>9</v>
      </c>
      <c r="G1" s="7" t="s">
        <v>9</v>
      </c>
      <c r="H1" s="7" t="s">
        <v>9</v>
      </c>
      <c r="I1" s="7" t="s">
        <v>9</v>
      </c>
      <c r="J1" s="7" t="s">
        <v>10</v>
      </c>
      <c r="K1" s="7" t="s">
        <v>10</v>
      </c>
      <c r="L1" s="7" t="s">
        <v>10</v>
      </c>
      <c r="M1" s="7" t="s">
        <v>10</v>
      </c>
    </row>
    <row r="2">
      <c r="A2" s="7" t="s">
        <v>11</v>
      </c>
      <c r="B2" s="7">
        <v>2022.0</v>
      </c>
      <c r="C2" s="7">
        <v>2021.0</v>
      </c>
      <c r="D2" s="7">
        <v>2020.0</v>
      </c>
      <c r="E2" s="7">
        <v>2019.0</v>
      </c>
      <c r="F2" s="7">
        <v>2022.0</v>
      </c>
      <c r="G2" s="7">
        <v>2021.0</v>
      </c>
      <c r="H2" s="7">
        <v>2020.0</v>
      </c>
      <c r="I2" s="7">
        <v>2019.0</v>
      </c>
      <c r="J2" s="7">
        <v>2022.0</v>
      </c>
      <c r="K2" s="7">
        <v>2021.0</v>
      </c>
      <c r="L2" s="7">
        <v>2020.0</v>
      </c>
      <c r="M2" s="7">
        <v>2019.0</v>
      </c>
    </row>
    <row r="3">
      <c r="A3" s="7"/>
      <c r="B3" s="7"/>
      <c r="C3" s="7"/>
      <c r="D3" s="7"/>
      <c r="E3" s="7"/>
    </row>
    <row r="4">
      <c r="A4" s="8" t="s">
        <v>12</v>
      </c>
      <c r="B4" s="8">
        <v>20297.0</v>
      </c>
      <c r="C4" s="8">
        <v>15295.0</v>
      </c>
      <c r="D4" s="8">
        <v>14445.0</v>
      </c>
      <c r="E4" s="8">
        <v>22408.0</v>
      </c>
      <c r="F4" s="8">
        <v>28091.0</v>
      </c>
      <c r="G4" s="8">
        <v>22929.0</v>
      </c>
      <c r="H4" s="8">
        <v>23601.0</v>
      </c>
      <c r="I4" s="8">
        <v>32917.0</v>
      </c>
      <c r="J4" s="8">
        <v>21156.0</v>
      </c>
      <c r="K4" s="8">
        <v>20502.0</v>
      </c>
      <c r="L4" s="8">
        <v>20705.0</v>
      </c>
      <c r="M4" s="9"/>
      <c r="N4" s="9"/>
      <c r="O4" s="9"/>
      <c r="P4" s="9"/>
      <c r="Q4" s="9"/>
      <c r="R4" s="9"/>
      <c r="S4" s="9"/>
      <c r="T4" s="9"/>
      <c r="U4" s="9"/>
      <c r="V4" s="9"/>
      <c r="W4" s="9"/>
      <c r="X4" s="9"/>
      <c r="Y4" s="9"/>
      <c r="Z4" s="9"/>
    </row>
    <row r="6">
      <c r="A6" s="7" t="s">
        <v>13</v>
      </c>
    </row>
    <row r="7">
      <c r="A7" s="10" t="s">
        <v>14</v>
      </c>
      <c r="B7" s="7">
        <v>2242.0</v>
      </c>
      <c r="C7" s="7">
        <v>1911.0</v>
      </c>
      <c r="D7" s="7">
        <v>1881.0</v>
      </c>
      <c r="F7" s="7">
        <v>3720.0</v>
      </c>
      <c r="G7" s="7">
        <v>4651.0</v>
      </c>
      <c r="H7" s="7">
        <v>2944.0</v>
      </c>
      <c r="J7" s="7">
        <v>1888.0</v>
      </c>
      <c r="K7" s="7">
        <v>2374.0</v>
      </c>
      <c r="L7" s="7">
        <v>1304.0</v>
      </c>
    </row>
    <row r="8">
      <c r="A8" s="10" t="s">
        <v>15</v>
      </c>
      <c r="B8" s="11">
        <f>-1011+200-156</f>
        <v>-967</v>
      </c>
      <c r="C8" s="11">
        <f>-799+257+87-79</f>
        <v>-534</v>
      </c>
      <c r="D8" s="11">
        <f>-728+286-44</f>
        <v>-486</v>
      </c>
      <c r="F8" s="11">
        <f>-1618-587-97</f>
        <v>-2302</v>
      </c>
      <c r="G8" s="11">
        <f>-1141-474-39</f>
        <v>-1654</v>
      </c>
      <c r="H8" s="11">
        <f>-1116-303-101</f>
        <v>-1520</v>
      </c>
      <c r="J8" s="11">
        <f>-989+217</f>
        <v>-772</v>
      </c>
      <c r="K8" s="11">
        <f>-856+315</f>
        <v>-541</v>
      </c>
      <c r="L8" s="11">
        <f>-974+187</f>
        <v>-787</v>
      </c>
    </row>
    <row r="9">
      <c r="A9" s="10" t="s">
        <v>16</v>
      </c>
      <c r="F9" s="11">
        <f>-97+732+223+120-58+138-259+111-93</f>
        <v>817</v>
      </c>
      <c r="G9" s="11">
        <f>109-103+787-58</f>
        <v>735</v>
      </c>
      <c r="H9" s="11">
        <f>-101+434-33-1141</f>
        <v>-841</v>
      </c>
      <c r="J9" s="11">
        <f>-845+53</f>
        <v>-792</v>
      </c>
      <c r="K9" s="11">
        <f>70-266+274</f>
        <v>78</v>
      </c>
      <c r="L9" s="11">
        <f>187-57+39</f>
        <v>169</v>
      </c>
    </row>
    <row r="10">
      <c r="A10" s="7" t="s">
        <v>17</v>
      </c>
      <c r="B10" s="12">
        <f>sum(B8:D9)/sum(B7:D7)</f>
        <v>-0.3293006298</v>
      </c>
      <c r="F10" s="12">
        <f>sum(F8:H9)/sum(F7:H7)</f>
        <v>-0.4211224039</v>
      </c>
      <c r="J10" s="12">
        <f>sum(J8:L9)/sum(J7:L7)</f>
        <v>-0.4752066116</v>
      </c>
    </row>
    <row r="11">
      <c r="A11" s="7"/>
    </row>
    <row r="12">
      <c r="A12" s="7" t="s">
        <v>18</v>
      </c>
    </row>
    <row r="13">
      <c r="A13" s="13" t="s">
        <v>19</v>
      </c>
      <c r="B13" s="13">
        <v>3320350.0</v>
      </c>
      <c r="C13" s="13">
        <v>3503441.0</v>
      </c>
      <c r="D13" s="13">
        <v>2626561.0</v>
      </c>
      <c r="E13" s="13">
        <v>4354369.0</v>
      </c>
      <c r="F13" s="13">
        <v>1483000.0</v>
      </c>
      <c r="G13" s="13">
        <v>1369000.0</v>
      </c>
      <c r="H13" s="13">
        <v>1424000.0</v>
      </c>
      <c r="I13" s="13">
        <v>1668000.0</v>
      </c>
      <c r="J13" s="14"/>
      <c r="K13" s="13">
        <v>391346.0</v>
      </c>
      <c r="L13" s="14"/>
      <c r="M13" s="13">
        <v>515384.0</v>
      </c>
      <c r="N13" s="14"/>
      <c r="O13" s="14"/>
      <c r="P13" s="14"/>
      <c r="Q13" s="14"/>
      <c r="R13" s="14"/>
      <c r="S13" s="14"/>
      <c r="T13" s="14"/>
      <c r="U13" s="14"/>
      <c r="V13" s="14"/>
      <c r="W13" s="14"/>
      <c r="X13" s="14"/>
      <c r="Y13" s="14"/>
      <c r="Z13" s="14"/>
    </row>
    <row r="14">
      <c r="A14" s="13" t="s">
        <v>20</v>
      </c>
      <c r="B14" s="13">
        <v>405114.0</v>
      </c>
      <c r="C14" s="13">
        <v>248949.0</v>
      </c>
      <c r="D14" s="13">
        <v>191451.0</v>
      </c>
      <c r="E14" s="13">
        <v>249259.0</v>
      </c>
      <c r="F14" s="13">
        <v>312000.0</v>
      </c>
      <c r="G14" s="13">
        <v>375000.0</v>
      </c>
      <c r="H14" s="13">
        <v>527000.0</v>
      </c>
      <c r="I14" s="13">
        <v>650000.0</v>
      </c>
      <c r="J14" s="14"/>
      <c r="K14" s="13">
        <v>215996.0</v>
      </c>
      <c r="L14" s="14"/>
      <c r="M14" s="13">
        <v>271207.0</v>
      </c>
      <c r="N14" s="14"/>
      <c r="O14" s="14"/>
      <c r="P14" s="14"/>
      <c r="Q14" s="14"/>
      <c r="R14" s="14"/>
      <c r="S14" s="14"/>
      <c r="T14" s="14"/>
      <c r="U14" s="14"/>
      <c r="V14" s="14"/>
      <c r="W14" s="14"/>
      <c r="X14" s="14"/>
      <c r="Y14" s="14"/>
      <c r="Z14" s="14"/>
    </row>
    <row r="15">
      <c r="A15" s="13" t="s">
        <v>21</v>
      </c>
      <c r="B15" s="14"/>
      <c r="C15" s="14"/>
      <c r="D15" s="14"/>
      <c r="E15" s="14"/>
      <c r="F15" s="13">
        <v>3.4849E7</v>
      </c>
      <c r="G15" s="13">
        <v>2.7375E7</v>
      </c>
      <c r="H15" s="13">
        <v>3.0137E7</v>
      </c>
      <c r="I15" s="13">
        <v>4.4384E7</v>
      </c>
      <c r="J15" s="14"/>
      <c r="K15" s="13">
        <v>2.30914558E8</v>
      </c>
      <c r="L15" s="14"/>
      <c r="M15" s="13">
        <v>1.80190538E8</v>
      </c>
      <c r="N15" s="14"/>
      <c r="O15" s="14"/>
      <c r="P15" s="14"/>
      <c r="Q15" s="14"/>
      <c r="R15" s="14"/>
      <c r="S15" s="14"/>
      <c r="T15" s="14"/>
      <c r="U15" s="14"/>
      <c r="V15" s="14"/>
      <c r="W15" s="14"/>
      <c r="X15" s="14"/>
      <c r="Y15" s="14"/>
      <c r="Z15" s="14"/>
    </row>
    <row r="16">
      <c r="A16" s="7" t="s">
        <v>22</v>
      </c>
    </row>
    <row r="18">
      <c r="A18" s="7" t="s">
        <v>23</v>
      </c>
      <c r="B18" s="15">
        <f t="shared" ref="B18:I18" si="1">(B13+B14)/B4</f>
        <v>183.5475193</v>
      </c>
      <c r="C18" s="15">
        <f t="shared" si="1"/>
        <v>245.334423</v>
      </c>
      <c r="D18" s="15">
        <f t="shared" si="1"/>
        <v>195.0856352</v>
      </c>
      <c r="E18" s="15">
        <f t="shared" si="1"/>
        <v>205.4457337</v>
      </c>
      <c r="F18" s="15">
        <f t="shared" si="1"/>
        <v>63.89946958</v>
      </c>
      <c r="G18" s="15">
        <f t="shared" si="1"/>
        <v>76.0608836</v>
      </c>
      <c r="H18" s="15">
        <f t="shared" si="1"/>
        <v>82.66598873</v>
      </c>
      <c r="I18" s="15">
        <f t="shared" si="1"/>
        <v>70.41954006</v>
      </c>
      <c r="K18" s="15">
        <f>(K13+K14)/K4</f>
        <v>29.62354892</v>
      </c>
    </row>
    <row r="19">
      <c r="A19" s="7" t="s">
        <v>24</v>
      </c>
    </row>
    <row r="21">
      <c r="A21" s="7" t="s">
        <v>25</v>
      </c>
    </row>
    <row r="23">
      <c r="A23" s="7" t="s">
        <v>26</v>
      </c>
      <c r="B23" s="7" t="s">
        <v>27</v>
      </c>
      <c r="F23" s="7" t="s">
        <v>27</v>
      </c>
    </row>
    <row r="24">
      <c r="A24" s="7" t="s">
        <v>28</v>
      </c>
      <c r="B24" s="7" t="s">
        <v>29</v>
      </c>
      <c r="F24" s="7" t="s">
        <v>30</v>
      </c>
      <c r="K24" s="7" t="s">
        <v>29</v>
      </c>
    </row>
    <row r="25">
      <c r="A25" s="7" t="s">
        <v>31</v>
      </c>
      <c r="B25" s="7" t="s">
        <v>32</v>
      </c>
      <c r="F25" s="7" t="s">
        <v>33</v>
      </c>
      <c r="K25" s="7" t="s">
        <v>33</v>
      </c>
    </row>
    <row r="26">
      <c r="A26" s="7" t="s">
        <v>34</v>
      </c>
      <c r="B26" s="7" t="s">
        <v>35</v>
      </c>
      <c r="F26" s="7" t="s">
        <v>36</v>
      </c>
      <c r="K26" s="7" t="s">
        <v>37</v>
      </c>
    </row>
    <row r="27">
      <c r="A27" s="7" t="s">
        <v>38</v>
      </c>
      <c r="B27" s="7" t="s">
        <v>39</v>
      </c>
      <c r="F27" s="7" t="s">
        <v>40</v>
      </c>
      <c r="K27" s="7" t="s">
        <v>39</v>
      </c>
    </row>
    <row r="30">
      <c r="A30" s="7" t="s">
        <v>41</v>
      </c>
      <c r="B30" s="7" t="s">
        <v>42</v>
      </c>
      <c r="F30" s="7" t="s">
        <v>43</v>
      </c>
      <c r="J30" s="7" t="s">
        <v>44</v>
      </c>
    </row>
    <row r="31">
      <c r="F31" s="7" t="s">
        <v>45</v>
      </c>
    </row>
    <row r="32">
      <c r="F32" s="7" t="s">
        <v>46</v>
      </c>
    </row>
    <row r="33">
      <c r="F33" s="7" t="s">
        <v>47</v>
      </c>
    </row>
    <row r="36">
      <c r="A36" s="7" t="s">
        <v>48</v>
      </c>
      <c r="B36" s="7" t="s">
        <v>49</v>
      </c>
      <c r="J36" s="7" t="s">
        <v>50</v>
      </c>
    </row>
    <row r="37">
      <c r="B37" s="7" t="s">
        <v>51</v>
      </c>
      <c r="F37" s="7" t="s">
        <v>52</v>
      </c>
      <c r="J37" s="7" t="s">
        <v>53</v>
      </c>
    </row>
    <row r="38">
      <c r="B38" s="7" t="s">
        <v>54</v>
      </c>
      <c r="F38" s="7" t="s">
        <v>55</v>
      </c>
      <c r="J38" s="7" t="s">
        <v>56</v>
      </c>
    </row>
    <row r="39">
      <c r="B39" s="7" t="s">
        <v>57</v>
      </c>
    </row>
    <row r="40">
      <c r="B40" s="7" t="s">
        <v>58</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1.63"/>
  </cols>
  <sheetData>
    <row r="1">
      <c r="B1" s="7" t="s">
        <v>59</v>
      </c>
      <c r="C1" s="7" t="s">
        <v>59</v>
      </c>
      <c r="D1" s="7" t="s">
        <v>59</v>
      </c>
      <c r="E1" s="7" t="s">
        <v>59</v>
      </c>
      <c r="F1" s="7" t="s">
        <v>60</v>
      </c>
      <c r="G1" s="7" t="s">
        <v>60</v>
      </c>
      <c r="H1" s="7" t="s">
        <v>60</v>
      </c>
      <c r="I1" s="7" t="s">
        <v>60</v>
      </c>
      <c r="J1" s="7" t="s">
        <v>61</v>
      </c>
      <c r="K1" s="7" t="s">
        <v>61</v>
      </c>
      <c r="L1" s="7" t="s">
        <v>61</v>
      </c>
      <c r="M1" s="7" t="s">
        <v>61</v>
      </c>
      <c r="N1" s="7" t="s">
        <v>62</v>
      </c>
      <c r="O1" s="7" t="s">
        <v>62</v>
      </c>
      <c r="P1" s="7" t="s">
        <v>62</v>
      </c>
    </row>
    <row r="2">
      <c r="A2" s="7" t="s">
        <v>11</v>
      </c>
      <c r="B2" s="7">
        <v>2022.0</v>
      </c>
      <c r="C2" s="7">
        <v>2021.0</v>
      </c>
      <c r="D2" s="7">
        <v>2020.0</v>
      </c>
      <c r="E2" s="7">
        <v>2019.0</v>
      </c>
      <c r="F2" s="7">
        <v>2022.0</v>
      </c>
      <c r="G2" s="7">
        <v>2021.0</v>
      </c>
      <c r="H2" s="7">
        <v>2020.0</v>
      </c>
      <c r="I2" s="7">
        <v>2019.0</v>
      </c>
      <c r="J2" s="7">
        <v>2022.0</v>
      </c>
      <c r="K2" s="7">
        <v>2021.0</v>
      </c>
      <c r="L2" s="7">
        <v>2020.0</v>
      </c>
      <c r="M2" s="7">
        <v>2019.0</v>
      </c>
      <c r="N2" s="7">
        <v>2022.0</v>
      </c>
      <c r="O2" s="7">
        <v>2021.0</v>
      </c>
      <c r="P2" s="7">
        <v>2020.0</v>
      </c>
    </row>
    <row r="3">
      <c r="A3" s="7"/>
    </row>
    <row r="4">
      <c r="A4" s="8" t="s">
        <v>12</v>
      </c>
      <c r="B4" s="8"/>
      <c r="C4" s="8">
        <v>10627.0</v>
      </c>
      <c r="D4" s="8">
        <v>7719.0</v>
      </c>
      <c r="E4" s="8">
        <v>8201.0</v>
      </c>
      <c r="F4" s="8"/>
      <c r="G4" s="8">
        <v>11709.0</v>
      </c>
      <c r="H4" s="8">
        <v>7259.0</v>
      </c>
      <c r="I4" s="8">
        <v>8170.0</v>
      </c>
      <c r="J4" s="9"/>
      <c r="K4" s="8">
        <v>16540.3</v>
      </c>
      <c r="L4" s="8">
        <v>8542.2</v>
      </c>
      <c r="M4" s="8">
        <v>10164.4</v>
      </c>
      <c r="N4" s="8">
        <v>20929.8</v>
      </c>
      <c r="O4" s="8">
        <v>16949.8</v>
      </c>
      <c r="P4" s="8">
        <v>8260.3</v>
      </c>
      <c r="Q4" s="9"/>
      <c r="R4" s="9"/>
      <c r="S4" s="9"/>
      <c r="T4" s="9"/>
      <c r="U4" s="9"/>
      <c r="V4" s="9"/>
      <c r="W4" s="9"/>
      <c r="X4" s="9"/>
      <c r="Y4" s="9"/>
      <c r="Z4" s="9"/>
      <c r="AA4" s="9"/>
      <c r="AB4" s="9"/>
      <c r="AC4" s="9"/>
    </row>
    <row r="6">
      <c r="A6" s="7" t="s">
        <v>13</v>
      </c>
    </row>
    <row r="7">
      <c r="A7" s="10" t="s">
        <v>14</v>
      </c>
      <c r="B7" s="10">
        <v>4889.0</v>
      </c>
      <c r="C7" s="10">
        <v>3945.0</v>
      </c>
      <c r="D7" s="10">
        <v>3496.0</v>
      </c>
      <c r="E7" s="16"/>
      <c r="F7" s="10">
        <v>4967.0</v>
      </c>
      <c r="G7" s="10">
        <v>5708.0</v>
      </c>
      <c r="H7" s="10">
        <v>4550.0</v>
      </c>
      <c r="I7" s="16"/>
      <c r="J7" s="10">
        <v>2905.955</v>
      </c>
      <c r="K7" s="10">
        <v>2546.272</v>
      </c>
      <c r="L7" s="10">
        <v>1899.068</v>
      </c>
      <c r="M7" s="16"/>
      <c r="N7" s="10">
        <v>2380.8</v>
      </c>
      <c r="O7" s="10">
        <v>2302.9</v>
      </c>
      <c r="P7" s="10">
        <v>1744.5</v>
      </c>
      <c r="Q7" s="16"/>
      <c r="R7" s="16"/>
      <c r="S7" s="16"/>
      <c r="T7" s="16"/>
      <c r="U7" s="16"/>
      <c r="V7" s="16"/>
      <c r="W7" s="16"/>
      <c r="X7" s="16"/>
      <c r="Y7" s="16"/>
      <c r="Z7" s="16"/>
      <c r="AA7" s="16"/>
      <c r="AB7" s="16"/>
      <c r="AC7" s="16"/>
    </row>
    <row r="8">
      <c r="A8" s="10" t="s">
        <v>15</v>
      </c>
      <c r="B8" s="10">
        <f>-2253-30+12</f>
        <v>-2271</v>
      </c>
      <c r="C8" s="10">
        <f>-1239-8+52</f>
        <v>-1195</v>
      </c>
      <c r="D8" s="10">
        <f>-1239-36+37</f>
        <v>-1238</v>
      </c>
      <c r="E8" s="16"/>
      <c r="F8" s="10">
        <v>-1621.0</v>
      </c>
      <c r="G8" s="10">
        <v>-1281.0</v>
      </c>
      <c r="H8" s="10">
        <v>-1707.0</v>
      </c>
      <c r="I8" s="16"/>
      <c r="J8" s="10">
        <v>-1202.057</v>
      </c>
      <c r="K8" s="10">
        <v>-696.854</v>
      </c>
      <c r="L8" s="10">
        <v>-2195.381</v>
      </c>
      <c r="M8" s="16"/>
      <c r="N8" s="16"/>
      <c r="O8" s="16"/>
      <c r="P8" s="16"/>
      <c r="Q8" s="16"/>
      <c r="R8" s="16"/>
      <c r="S8" s="16"/>
      <c r="T8" s="16"/>
      <c r="U8" s="16"/>
      <c r="V8" s="16"/>
      <c r="W8" s="16"/>
      <c r="X8" s="16"/>
      <c r="Y8" s="16"/>
      <c r="Z8" s="16"/>
      <c r="AA8" s="16"/>
      <c r="AB8" s="16"/>
      <c r="AC8" s="16"/>
    </row>
    <row r="9">
      <c r="A9" s="10" t="s">
        <v>16</v>
      </c>
      <c r="B9" s="16">
        <f>-933-166</f>
        <v>-1099</v>
      </c>
      <c r="C9" s="16">
        <f>-151-115</f>
        <v>-266</v>
      </c>
      <c r="D9" s="16">
        <f>-325</f>
        <v>-325</v>
      </c>
      <c r="E9" s="16"/>
      <c r="F9" s="16">
        <f>-487+6-229+156+557</f>
        <v>3</v>
      </c>
      <c r="G9" s="16">
        <f>-1547+406-38+163</f>
        <v>-1016</v>
      </c>
      <c r="H9" s="16">
        <f>-16+1069-386+154</f>
        <v>821</v>
      </c>
      <c r="I9" s="16"/>
      <c r="J9" s="10">
        <v>32.442</v>
      </c>
      <c r="K9" s="10">
        <v>32.791</v>
      </c>
      <c r="L9" s="10">
        <v>969.759</v>
      </c>
      <c r="M9" s="16"/>
      <c r="N9" s="16"/>
      <c r="O9" s="16"/>
      <c r="P9" s="16"/>
      <c r="Q9" s="16"/>
      <c r="R9" s="16"/>
      <c r="S9" s="16"/>
      <c r="T9" s="16"/>
      <c r="U9" s="16"/>
      <c r="V9" s="16"/>
      <c r="W9" s="16"/>
      <c r="X9" s="16"/>
      <c r="Y9" s="16"/>
      <c r="Z9" s="16"/>
      <c r="AA9" s="16"/>
      <c r="AB9" s="16"/>
      <c r="AC9" s="16"/>
    </row>
    <row r="10">
      <c r="A10" s="10" t="s">
        <v>63</v>
      </c>
      <c r="B10" s="16">
        <f>345+1755-2876</f>
        <v>-776</v>
      </c>
      <c r="C10" s="16">
        <f>2155-894</f>
        <v>1261</v>
      </c>
      <c r="D10" s="16">
        <f>3899-3841</f>
        <v>58</v>
      </c>
      <c r="E10" s="16"/>
      <c r="F10" s="16">
        <f>9058-9735-25</f>
        <v>-702</v>
      </c>
      <c r="G10" s="16">
        <f>5959-6831-27</f>
        <v>-899</v>
      </c>
      <c r="H10" s="16">
        <f>3888-3996-25</f>
        <v>-133</v>
      </c>
      <c r="I10" s="16"/>
      <c r="J10" s="16">
        <f>869.393-895.814</f>
        <v>-26.421</v>
      </c>
      <c r="K10" s="16">
        <f>-604.894</f>
        <v>-604.894</v>
      </c>
      <c r="L10" s="16">
        <f>3244.77-1457.222-220</f>
        <v>1567.548</v>
      </c>
      <c r="M10" s="16"/>
      <c r="N10" s="16"/>
      <c r="O10" s="16"/>
      <c r="P10" s="16"/>
      <c r="Q10" s="16"/>
      <c r="R10" s="16"/>
      <c r="S10" s="16"/>
      <c r="T10" s="16"/>
      <c r="U10" s="16"/>
      <c r="V10" s="16"/>
      <c r="W10" s="16"/>
      <c r="X10" s="16"/>
      <c r="Y10" s="16"/>
      <c r="Z10" s="16"/>
      <c r="AA10" s="16"/>
      <c r="AB10" s="16"/>
      <c r="AC10" s="16"/>
    </row>
    <row r="11">
      <c r="A11" s="10" t="s">
        <v>64</v>
      </c>
      <c r="B11" s="10">
        <v>-2071.0</v>
      </c>
      <c r="C11" s="10">
        <v>-1992.0</v>
      </c>
      <c r="D11" s="10">
        <v>-1941.0</v>
      </c>
      <c r="E11" s="16"/>
      <c r="F11" s="10">
        <v>-2504.0</v>
      </c>
      <c r="G11" s="10">
        <v>-2443.0</v>
      </c>
      <c r="H11" s="10">
        <v>-2362.0</v>
      </c>
      <c r="I11" s="16"/>
      <c r="J11" s="10">
        <v>-1671.582</v>
      </c>
      <c r="K11" s="10">
        <v>-1667.431</v>
      </c>
      <c r="L11" s="10">
        <v>-1605.366</v>
      </c>
      <c r="M11" s="16"/>
      <c r="N11" s="16"/>
      <c r="O11" s="16"/>
      <c r="P11" s="16"/>
      <c r="Q11" s="16"/>
      <c r="R11" s="16"/>
      <c r="S11" s="16"/>
      <c r="T11" s="16"/>
      <c r="U11" s="16"/>
      <c r="V11" s="16"/>
      <c r="W11" s="16"/>
      <c r="X11" s="16"/>
      <c r="Y11" s="16"/>
      <c r="Z11" s="16"/>
      <c r="AA11" s="16"/>
      <c r="AB11" s="16"/>
      <c r="AC11" s="16"/>
    </row>
    <row r="12">
      <c r="A12" s="10" t="s">
        <v>65</v>
      </c>
      <c r="B12" s="10">
        <v>54.0</v>
      </c>
      <c r="C12" s="10">
        <v>9.0</v>
      </c>
      <c r="D12" s="10">
        <v>9.0</v>
      </c>
      <c r="E12" s="16"/>
      <c r="F12" s="10">
        <v>-368.0</v>
      </c>
      <c r="G12" s="16"/>
      <c r="H12" s="10">
        <v>-50.0</v>
      </c>
      <c r="I12" s="16"/>
      <c r="J12" s="16"/>
      <c r="K12" s="16"/>
      <c r="L12" s="16"/>
      <c r="M12" s="16"/>
      <c r="N12" s="16"/>
      <c r="O12" s="16"/>
      <c r="P12" s="16"/>
      <c r="Q12" s="16"/>
      <c r="R12" s="16"/>
      <c r="S12" s="16"/>
      <c r="T12" s="16"/>
      <c r="U12" s="16"/>
      <c r="V12" s="16"/>
      <c r="W12" s="16"/>
      <c r="X12" s="16"/>
      <c r="Y12" s="16"/>
      <c r="Z12" s="16"/>
      <c r="AA12" s="16"/>
      <c r="AB12" s="16"/>
      <c r="AC12" s="16"/>
    </row>
    <row r="13">
      <c r="A13" s="10" t="s">
        <v>66</v>
      </c>
      <c r="B13" s="16">
        <f>-46-5-204</f>
        <v>-255</v>
      </c>
      <c r="C13" s="16">
        <f>-16-4-187</f>
        <v>-207</v>
      </c>
      <c r="D13" s="16">
        <f>-13-5-185</f>
        <v>-203</v>
      </c>
      <c r="E13" s="16"/>
      <c r="F13" s="16">
        <f>-116</f>
        <v>-116</v>
      </c>
      <c r="G13" s="16">
        <f>-82-20</f>
        <v>-102</v>
      </c>
      <c r="H13" s="16">
        <f>-79-15</f>
        <v>-94</v>
      </c>
      <c r="I13" s="16"/>
      <c r="J13" s="16">
        <f>20.267+42.554-27.322</f>
        <v>35.499</v>
      </c>
      <c r="K13" s="16">
        <f>19.363+12.199-19.551</f>
        <v>12.011</v>
      </c>
      <c r="L13" s="16">
        <f>31.808-106.956-56.949</f>
        <v>-132.097</v>
      </c>
      <c r="M13" s="16"/>
      <c r="N13" s="16"/>
      <c r="O13" s="16"/>
      <c r="P13" s="16"/>
      <c r="Q13" s="16"/>
      <c r="R13" s="16"/>
      <c r="S13" s="16"/>
      <c r="T13" s="16"/>
      <c r="U13" s="16"/>
      <c r="V13" s="16"/>
      <c r="W13" s="16"/>
      <c r="X13" s="16"/>
      <c r="Y13" s="16"/>
      <c r="Z13" s="16"/>
      <c r="AA13" s="16"/>
      <c r="AB13" s="16"/>
      <c r="AC13" s="16"/>
    </row>
    <row r="14">
      <c r="A14" s="10" t="s">
        <v>67</v>
      </c>
      <c r="B14" s="16"/>
      <c r="C14" s="16"/>
      <c r="D14" s="16"/>
      <c r="E14" s="16"/>
      <c r="F14" s="16"/>
      <c r="G14" s="16"/>
      <c r="H14" s="16"/>
      <c r="I14" s="16"/>
      <c r="J14" s="16"/>
      <c r="K14" s="16"/>
      <c r="L14" s="16"/>
      <c r="M14" s="16"/>
      <c r="N14" s="16">
        <f>-4149.7</f>
        <v>-4149.7</v>
      </c>
      <c r="O14" s="10">
        <v>-473.2</v>
      </c>
      <c r="P14" s="10">
        <v>-738.1</v>
      </c>
      <c r="Q14" s="16"/>
      <c r="R14" s="16"/>
      <c r="S14" s="16"/>
      <c r="T14" s="16"/>
      <c r="U14" s="16"/>
      <c r="V14" s="16"/>
      <c r="W14" s="16"/>
      <c r="X14" s="16"/>
      <c r="Y14" s="16"/>
      <c r="Z14" s="16"/>
      <c r="AA14" s="16"/>
      <c r="AB14" s="16"/>
      <c r="AC14" s="16"/>
    </row>
    <row r="15">
      <c r="A15" s="7" t="s">
        <v>17</v>
      </c>
      <c r="B15" s="12">
        <f>sum(D8:D9)/sum(D7)</f>
        <v>-0.4470823799</v>
      </c>
      <c r="F15" s="12">
        <f>sum(H8:H9)/sum(H7)</f>
        <v>-0.1947252747</v>
      </c>
      <c r="J15" s="12">
        <f>sum(L8:L9)/sum(L7)</f>
        <v>-0.6453807868</v>
      </c>
      <c r="N15" s="12">
        <f>sum(N14:P14)/sum(N7:P7)</f>
        <v>-0.8339815189</v>
      </c>
      <c r="P15" s="12"/>
    </row>
    <row r="17">
      <c r="A17" s="7" t="s">
        <v>18</v>
      </c>
    </row>
    <row r="18">
      <c r="A18" s="13" t="s">
        <v>19</v>
      </c>
      <c r="B18" s="13"/>
      <c r="C18" s="13">
        <v>1.026E7</v>
      </c>
      <c r="D18" s="13">
        <v>1.043E7</v>
      </c>
      <c r="E18" s="13">
        <v>1.113E7</v>
      </c>
      <c r="F18" s="13"/>
      <c r="G18" s="13">
        <v>1.53E7</v>
      </c>
      <c r="H18" s="13">
        <v>1.53E7</v>
      </c>
      <c r="I18" s="13">
        <v>1.6E7</v>
      </c>
      <c r="J18" s="14"/>
      <c r="K18" s="13">
        <v>3800000.0</v>
      </c>
      <c r="L18" s="13">
        <v>3800000.0</v>
      </c>
      <c r="M18" s="13">
        <v>4200000.0</v>
      </c>
      <c r="O18" s="13">
        <v>7000000.0</v>
      </c>
      <c r="P18" s="13">
        <v>7700000.0</v>
      </c>
      <c r="Q18" s="14"/>
      <c r="R18" s="14"/>
      <c r="S18" s="14"/>
      <c r="T18" s="14"/>
      <c r="U18" s="14"/>
      <c r="V18" s="14"/>
      <c r="W18" s="14"/>
      <c r="X18" s="14"/>
      <c r="Y18" s="14"/>
      <c r="Z18" s="14"/>
      <c r="AA18" s="14"/>
      <c r="AB18" s="14"/>
      <c r="AC18" s="14"/>
    </row>
    <row r="19">
      <c r="A19" s="13" t="s">
        <v>20</v>
      </c>
      <c r="B19" s="13"/>
      <c r="C19" s="13">
        <v>1660000.0</v>
      </c>
      <c r="D19" s="13">
        <v>1500000.0</v>
      </c>
      <c r="E19" s="13">
        <v>1550000.0</v>
      </c>
      <c r="F19" s="13"/>
      <c r="G19" s="13">
        <v>3100000.0</v>
      </c>
      <c r="H19" s="13">
        <v>3100000.0</v>
      </c>
      <c r="I19" s="13">
        <v>3400000.0</v>
      </c>
      <c r="J19" s="14"/>
      <c r="K19" s="13">
        <v>2700000.0</v>
      </c>
      <c r="L19" s="13">
        <v>2500000.0</v>
      </c>
      <c r="M19" s="13">
        <v>3000000.0</v>
      </c>
      <c r="N19" s="14"/>
      <c r="O19" s="13">
        <v>2700000.0</v>
      </c>
      <c r="P19" s="13">
        <v>2500000.0</v>
      </c>
      <c r="Q19" s="14"/>
      <c r="R19" s="14"/>
      <c r="S19" s="14"/>
      <c r="T19" s="14"/>
      <c r="U19" s="14"/>
      <c r="V19" s="14"/>
      <c r="W19" s="14"/>
      <c r="X19" s="14"/>
      <c r="Y19" s="14"/>
      <c r="Z19" s="14"/>
      <c r="AA19" s="14"/>
      <c r="AB19" s="14"/>
      <c r="AC19" s="14"/>
    </row>
    <row r="20">
      <c r="A20" s="13" t="s">
        <v>21</v>
      </c>
      <c r="B20" s="14"/>
      <c r="C20" s="14"/>
      <c r="D20" s="14"/>
      <c r="E20" s="14"/>
      <c r="F20" s="14"/>
      <c r="G20" s="14"/>
      <c r="H20" s="14"/>
      <c r="I20" s="14"/>
      <c r="J20" s="14"/>
      <c r="K20" s="13">
        <v>6.67E7</v>
      </c>
      <c r="L20" s="13">
        <v>6.04E7</v>
      </c>
      <c r="M20" s="13">
        <v>5.74E7</v>
      </c>
      <c r="N20" s="14"/>
      <c r="O20" s="13">
        <v>2.39E7</v>
      </c>
      <c r="P20" s="13">
        <v>2.71E7</v>
      </c>
      <c r="Q20" s="14"/>
      <c r="R20" s="14"/>
      <c r="S20" s="14"/>
      <c r="T20" s="14"/>
      <c r="U20" s="14"/>
      <c r="V20" s="14"/>
      <c r="W20" s="14"/>
      <c r="X20" s="14"/>
      <c r="Y20" s="14"/>
      <c r="Z20" s="14"/>
      <c r="AA20" s="14"/>
      <c r="AB20" s="14"/>
      <c r="AC20" s="14"/>
    </row>
    <row r="21">
      <c r="A21" s="13" t="s">
        <v>22</v>
      </c>
      <c r="B21" s="14"/>
      <c r="C21" s="14">
        <f t="shared" ref="C21:E21" si="1">sum(C18:C19)</f>
        <v>11920000</v>
      </c>
      <c r="D21" s="14">
        <f t="shared" si="1"/>
        <v>11930000</v>
      </c>
      <c r="E21" s="14">
        <f t="shared" si="1"/>
        <v>12680000</v>
      </c>
      <c r="F21" s="14"/>
      <c r="G21" s="14">
        <f t="shared" ref="G21:I21" si="2">sum(G18:G19)</f>
        <v>18400000</v>
      </c>
      <c r="H21" s="14">
        <f t="shared" si="2"/>
        <v>18400000</v>
      </c>
      <c r="I21" s="14">
        <f t="shared" si="2"/>
        <v>19400000</v>
      </c>
      <c r="J21" s="14"/>
      <c r="K21" s="14">
        <f t="shared" ref="K21:M21" si="3">sum(K18:K19)</f>
        <v>6500000</v>
      </c>
      <c r="L21" s="14">
        <f t="shared" si="3"/>
        <v>6300000</v>
      </c>
      <c r="M21" s="14">
        <f t="shared" si="3"/>
        <v>7200000</v>
      </c>
      <c r="N21" s="14"/>
      <c r="O21" s="14">
        <f t="shared" ref="O21:P21" si="4">sum(O18:O19)</f>
        <v>9700000</v>
      </c>
      <c r="P21" s="14">
        <f t="shared" si="4"/>
        <v>10200000</v>
      </c>
      <c r="Q21" s="14"/>
      <c r="R21" s="14"/>
      <c r="S21" s="14"/>
      <c r="T21" s="14"/>
      <c r="U21" s="14"/>
      <c r="V21" s="14"/>
      <c r="W21" s="14"/>
      <c r="X21" s="14"/>
      <c r="Y21" s="14"/>
      <c r="Z21" s="14"/>
      <c r="AA21" s="14"/>
      <c r="AB21" s="14"/>
      <c r="AC21" s="14"/>
    </row>
    <row r="23">
      <c r="A23" s="7" t="s">
        <v>68</v>
      </c>
      <c r="C23" s="7">
        <v>37.7</v>
      </c>
      <c r="D23" s="7">
        <v>36.2</v>
      </c>
      <c r="E23" s="7">
        <v>35.3</v>
      </c>
    </row>
    <row r="24">
      <c r="A24" s="7" t="s">
        <v>69</v>
      </c>
      <c r="B24" s="7"/>
      <c r="C24" s="17">
        <f t="shared" ref="C24:E24" si="5">C23/6*365</f>
        <v>2293.416667</v>
      </c>
      <c r="D24" s="17">
        <f t="shared" si="5"/>
        <v>2202.166667</v>
      </c>
      <c r="E24" s="17">
        <f t="shared" si="5"/>
        <v>2147.416667</v>
      </c>
      <c r="F24" s="7"/>
      <c r="G24" s="7">
        <v>5400.0</v>
      </c>
      <c r="H24" s="7">
        <v>5100.0</v>
      </c>
      <c r="I24" s="7">
        <v>5600.0</v>
      </c>
      <c r="K24" s="7">
        <v>651.0</v>
      </c>
      <c r="L24" s="7">
        <v>624.0</v>
      </c>
      <c r="M24" s="7">
        <v>667.0</v>
      </c>
      <c r="O24" s="7">
        <v>617.0</v>
      </c>
      <c r="P24" s="7">
        <v>558.0</v>
      </c>
    </row>
    <row r="26">
      <c r="A26" s="7" t="s">
        <v>70</v>
      </c>
      <c r="B26" s="18"/>
      <c r="C26" s="18">
        <f t="shared" ref="C26:E26" si="6">C21/(C24*1000000)</f>
        <v>0.005197485556</v>
      </c>
      <c r="D26" s="18">
        <f t="shared" si="6"/>
        <v>0.005417391962</v>
      </c>
      <c r="E26" s="18">
        <f t="shared" si="6"/>
        <v>0.005904769296</v>
      </c>
      <c r="F26" s="18"/>
      <c r="G26" s="18">
        <f t="shared" ref="G26:I26" si="7">G21/(G24*1000000)</f>
        <v>0.003407407407</v>
      </c>
      <c r="H26" s="18">
        <f t="shared" si="7"/>
        <v>0.003607843137</v>
      </c>
      <c r="I26" s="18">
        <f t="shared" si="7"/>
        <v>0.003464285714</v>
      </c>
      <c r="K26" s="18">
        <f t="shared" ref="K26:M26" si="8">K21/(K24*1000000)</f>
        <v>0.009984639017</v>
      </c>
      <c r="L26" s="18">
        <f t="shared" si="8"/>
        <v>0.01009615385</v>
      </c>
      <c r="M26" s="18">
        <f t="shared" si="8"/>
        <v>0.0107946027</v>
      </c>
      <c r="O26" s="18">
        <f t="shared" ref="O26:P26" si="9">O21/(O24*1000000)</f>
        <v>0.01572123177</v>
      </c>
      <c r="P26" s="18">
        <f t="shared" si="9"/>
        <v>0.01827956989</v>
      </c>
    </row>
    <row r="28">
      <c r="A28" s="7" t="s">
        <v>23</v>
      </c>
      <c r="B28" s="15"/>
      <c r="C28" s="15">
        <f t="shared" ref="C28:E28" si="10">(C18+C19)/C4</f>
        <v>1121.671215</v>
      </c>
      <c r="D28" s="15">
        <f t="shared" si="10"/>
        <v>1545.536987</v>
      </c>
      <c r="E28" s="15">
        <f t="shared" si="10"/>
        <v>1546.152908</v>
      </c>
      <c r="F28" s="15"/>
      <c r="G28" s="15">
        <f t="shared" ref="G28:I28" si="11">(G18+G19)/G4</f>
        <v>1571.440772</v>
      </c>
      <c r="H28" s="15">
        <f t="shared" si="11"/>
        <v>2534.784406</v>
      </c>
      <c r="I28" s="15">
        <f t="shared" si="11"/>
        <v>2374.541004</v>
      </c>
      <c r="K28" s="15">
        <f t="shared" ref="K28:M28" si="12">(K18+K19)/K4</f>
        <v>392.9795711</v>
      </c>
      <c r="L28" s="15">
        <f t="shared" si="12"/>
        <v>737.5149259</v>
      </c>
      <c r="M28" s="15">
        <f t="shared" si="12"/>
        <v>708.3546496</v>
      </c>
      <c r="N28" s="15"/>
      <c r="O28" s="15">
        <f t="shared" ref="O28:P28" si="13">(O18+O19)/O4</f>
        <v>572.278139</v>
      </c>
      <c r="P28" s="15">
        <f t="shared" si="13"/>
        <v>1234.82198</v>
      </c>
    </row>
    <row r="29">
      <c r="A29" s="7" t="s">
        <v>24</v>
      </c>
    </row>
    <row r="31">
      <c r="A31" s="7" t="s">
        <v>71</v>
      </c>
      <c r="C31" s="19">
        <v>2.1E-4</v>
      </c>
      <c r="O31" s="20">
        <v>0.00167</v>
      </c>
    </row>
    <row r="32">
      <c r="A32" s="7" t="s">
        <v>72</v>
      </c>
      <c r="C32" s="19">
        <v>1.7E-4</v>
      </c>
      <c r="O32" s="20">
        <v>3.7E-4</v>
      </c>
    </row>
    <row r="33">
      <c r="A33" s="7" t="s">
        <v>73</v>
      </c>
      <c r="B33" s="20"/>
      <c r="C33" s="19">
        <v>2.0E-4</v>
      </c>
      <c r="F33" s="20"/>
      <c r="G33" s="20">
        <v>3.0E-4</v>
      </c>
      <c r="H33" s="20">
        <v>4.0E-4</v>
      </c>
      <c r="I33" s="20">
        <v>3.0E-4</v>
      </c>
      <c r="L33" s="20">
        <v>2.2E-4</v>
      </c>
    </row>
    <row r="35">
      <c r="A35" s="7" t="s">
        <v>26</v>
      </c>
      <c r="B35" s="7"/>
      <c r="C35" s="7" t="s">
        <v>74</v>
      </c>
      <c r="G35" s="7" t="s">
        <v>75</v>
      </c>
      <c r="K35" s="7" t="s">
        <v>76</v>
      </c>
      <c r="N35" s="7" t="s">
        <v>77</v>
      </c>
    </row>
    <row r="36">
      <c r="A36" s="7" t="s">
        <v>28</v>
      </c>
      <c r="B36" s="21"/>
      <c r="C36" s="21" t="s">
        <v>29</v>
      </c>
      <c r="G36" s="21" t="s">
        <v>29</v>
      </c>
      <c r="K36" s="21" t="s">
        <v>29</v>
      </c>
      <c r="N36" s="7" t="s">
        <v>29</v>
      </c>
    </row>
    <row r="37">
      <c r="A37" s="7" t="s">
        <v>31</v>
      </c>
      <c r="B37" s="21"/>
      <c r="C37" s="21" t="s">
        <v>78</v>
      </c>
      <c r="G37" s="21" t="s">
        <v>33</v>
      </c>
      <c r="K37" s="21" t="s">
        <v>78</v>
      </c>
    </row>
    <row r="38">
      <c r="A38" s="7" t="s">
        <v>34</v>
      </c>
      <c r="B38" s="21"/>
      <c r="C38" s="21" t="s">
        <v>79</v>
      </c>
      <c r="G38" s="21" t="s">
        <v>80</v>
      </c>
      <c r="K38" s="21" t="s">
        <v>81</v>
      </c>
      <c r="N38" s="7" t="s">
        <v>82</v>
      </c>
    </row>
    <row r="39">
      <c r="A39" s="7" t="s">
        <v>38</v>
      </c>
      <c r="B39" s="21"/>
      <c r="C39" s="21" t="s">
        <v>39</v>
      </c>
      <c r="G39" s="21" t="s">
        <v>39</v>
      </c>
      <c r="K39" s="21" t="s">
        <v>83</v>
      </c>
      <c r="N39" s="7" t="s">
        <v>84</v>
      </c>
    </row>
    <row r="40">
      <c r="A40" s="7" t="s">
        <v>85</v>
      </c>
      <c r="B40" s="21"/>
      <c r="C40" s="22" t="s">
        <v>86</v>
      </c>
      <c r="G40" s="22" t="s">
        <v>87</v>
      </c>
      <c r="K40" s="22" t="s">
        <v>88</v>
      </c>
    </row>
    <row r="42">
      <c r="A42" s="7" t="s">
        <v>41</v>
      </c>
      <c r="B42" s="7"/>
      <c r="C42" s="7" t="s">
        <v>89</v>
      </c>
      <c r="G42" s="7" t="s">
        <v>90</v>
      </c>
      <c r="K42" s="7" t="s">
        <v>90</v>
      </c>
      <c r="N42" s="7" t="s">
        <v>90</v>
      </c>
    </row>
    <row r="43">
      <c r="B43" s="7"/>
      <c r="C43" s="7" t="s">
        <v>91</v>
      </c>
      <c r="G43" s="7" t="s">
        <v>92</v>
      </c>
      <c r="K43" s="7" t="s">
        <v>93</v>
      </c>
      <c r="N43" s="7" t="s">
        <v>94</v>
      </c>
    </row>
    <row r="44">
      <c r="B44" s="7"/>
      <c r="C44" s="7" t="s">
        <v>90</v>
      </c>
      <c r="G44" s="7" t="s">
        <v>95</v>
      </c>
      <c r="K44" s="7" t="s">
        <v>96</v>
      </c>
      <c r="N44" s="7" t="s">
        <v>97</v>
      </c>
    </row>
    <row r="45">
      <c r="B45" s="7"/>
      <c r="C45" s="7" t="s">
        <v>98</v>
      </c>
      <c r="G45" s="7" t="s">
        <v>99</v>
      </c>
      <c r="N45" s="7" t="s">
        <v>100</v>
      </c>
    </row>
    <row r="46">
      <c r="N46" s="7" t="s">
        <v>101</v>
      </c>
    </row>
    <row r="48">
      <c r="A48" s="7" t="s">
        <v>48</v>
      </c>
      <c r="B48" s="7"/>
      <c r="C48" s="7" t="s">
        <v>102</v>
      </c>
      <c r="G48" s="7" t="s">
        <v>103</v>
      </c>
      <c r="K48" s="7" t="s">
        <v>104</v>
      </c>
    </row>
    <row r="50">
      <c r="A50" s="7" t="s">
        <v>105</v>
      </c>
      <c r="N50" s="7" t="s">
        <v>106</v>
      </c>
    </row>
    <row r="51">
      <c r="N51" s="7" t="s">
        <v>107</v>
      </c>
    </row>
    <row r="52">
      <c r="N52" s="7" t="s">
        <v>108</v>
      </c>
    </row>
    <row r="53">
      <c r="N53" s="7" t="s">
        <v>109</v>
      </c>
    </row>
  </sheetData>
  <hyperlinks>
    <hyperlink r:id="rId1" ref="C40"/>
    <hyperlink r:id="rId2" ref="G40"/>
    <hyperlink r:id="rId3" ref="K40"/>
  </hyperlinks>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47.63"/>
  </cols>
  <sheetData>
    <row r="1">
      <c r="B1" s="13" t="s">
        <v>110</v>
      </c>
      <c r="C1" s="13" t="s">
        <v>110</v>
      </c>
      <c r="D1" s="7" t="s">
        <v>110</v>
      </c>
      <c r="E1" s="7" t="s">
        <v>111</v>
      </c>
      <c r="F1" s="7" t="s">
        <v>111</v>
      </c>
      <c r="G1" s="7" t="s">
        <v>111</v>
      </c>
      <c r="H1" s="7" t="s">
        <v>111</v>
      </c>
      <c r="I1" s="7" t="s">
        <v>112</v>
      </c>
      <c r="J1" s="7" t="s">
        <v>112</v>
      </c>
      <c r="K1" s="7" t="s">
        <v>112</v>
      </c>
      <c r="L1" s="7" t="s">
        <v>113</v>
      </c>
      <c r="M1" s="7" t="s">
        <v>113</v>
      </c>
      <c r="N1" s="7" t="s">
        <v>113</v>
      </c>
      <c r="O1" s="7" t="s">
        <v>114</v>
      </c>
      <c r="P1" s="7" t="s">
        <v>114</v>
      </c>
      <c r="Q1" s="7" t="s">
        <v>114</v>
      </c>
      <c r="R1" s="7" t="s">
        <v>115</v>
      </c>
      <c r="S1" s="7" t="s">
        <v>115</v>
      </c>
      <c r="T1" s="7" t="s">
        <v>115</v>
      </c>
      <c r="U1" s="7" t="s">
        <v>116</v>
      </c>
      <c r="V1" s="7" t="s">
        <v>116</v>
      </c>
      <c r="W1" s="7" t="s">
        <v>116</v>
      </c>
      <c r="X1" s="7" t="s">
        <v>117</v>
      </c>
      <c r="Y1" s="7" t="s">
        <v>117</v>
      </c>
      <c r="Z1" s="7" t="s">
        <v>117</v>
      </c>
      <c r="AA1" s="7" t="s">
        <v>118</v>
      </c>
      <c r="AB1" s="7" t="s">
        <v>118</v>
      </c>
      <c r="AC1" s="7" t="s">
        <v>118</v>
      </c>
      <c r="AD1" s="7" t="s">
        <v>119</v>
      </c>
      <c r="AE1" s="7" t="s">
        <v>119</v>
      </c>
      <c r="AF1" s="7" t="s">
        <v>119</v>
      </c>
      <c r="AG1" s="7" t="s">
        <v>120</v>
      </c>
      <c r="AH1" s="7" t="s">
        <v>120</v>
      </c>
      <c r="AI1" s="7" t="s">
        <v>120</v>
      </c>
      <c r="AJ1" s="7" t="s">
        <v>121</v>
      </c>
      <c r="AK1" s="7" t="s">
        <v>121</v>
      </c>
      <c r="AL1" s="7" t="s">
        <v>121</v>
      </c>
      <c r="AM1" s="7" t="s">
        <v>122</v>
      </c>
      <c r="AN1" s="7" t="s">
        <v>122</v>
      </c>
      <c r="AO1" s="7" t="s">
        <v>122</v>
      </c>
    </row>
    <row r="2">
      <c r="A2" s="7" t="s">
        <v>11</v>
      </c>
      <c r="B2" s="7">
        <v>2022.0</v>
      </c>
      <c r="C2" s="7">
        <v>2021.0</v>
      </c>
      <c r="D2" s="7">
        <v>2020.0</v>
      </c>
      <c r="E2" s="7">
        <v>2022.0</v>
      </c>
      <c r="F2" s="7">
        <v>2021.0</v>
      </c>
      <c r="G2" s="7">
        <v>2020.0</v>
      </c>
      <c r="H2" s="7">
        <v>2019.0</v>
      </c>
      <c r="I2" s="7">
        <v>2022.0</v>
      </c>
      <c r="J2" s="7">
        <v>2021.0</v>
      </c>
      <c r="K2" s="7">
        <v>2020.0</v>
      </c>
      <c r="L2" s="7">
        <v>2022.0</v>
      </c>
      <c r="M2" s="7">
        <v>2021.0</v>
      </c>
      <c r="N2" s="7">
        <v>2020.0</v>
      </c>
      <c r="O2" s="7">
        <v>2022.0</v>
      </c>
      <c r="P2" s="7">
        <v>2021.0</v>
      </c>
      <c r="Q2" s="7">
        <v>2020.0</v>
      </c>
      <c r="R2" s="7">
        <v>2022.0</v>
      </c>
      <c r="S2" s="7">
        <v>2021.0</v>
      </c>
      <c r="T2" s="7">
        <v>2020.0</v>
      </c>
      <c r="U2" s="7">
        <v>2022.0</v>
      </c>
      <c r="V2" s="7">
        <v>2021.0</v>
      </c>
      <c r="W2" s="7">
        <v>2020.0</v>
      </c>
      <c r="X2" s="7">
        <v>2022.0</v>
      </c>
      <c r="Y2" s="7">
        <v>2021.0</v>
      </c>
      <c r="Z2" s="7">
        <v>2020.0</v>
      </c>
      <c r="AA2" s="7">
        <v>2022.0</v>
      </c>
      <c r="AB2" s="7">
        <v>2021.0</v>
      </c>
      <c r="AC2" s="7">
        <v>2020.0</v>
      </c>
      <c r="AD2" s="7">
        <v>2022.0</v>
      </c>
      <c r="AE2" s="7">
        <v>2021.0</v>
      </c>
      <c r="AF2" s="7">
        <v>2020.0</v>
      </c>
      <c r="AG2" s="7">
        <v>2022.0</v>
      </c>
      <c r="AH2" s="7">
        <v>2021.0</v>
      </c>
      <c r="AI2" s="7">
        <v>2020.0</v>
      </c>
      <c r="AJ2" s="7">
        <v>2022.0</v>
      </c>
      <c r="AK2" s="7">
        <v>2021.0</v>
      </c>
      <c r="AL2" s="7">
        <v>2020.0</v>
      </c>
      <c r="AM2" s="7">
        <v>2022.0</v>
      </c>
      <c r="AN2" s="7">
        <v>2021.0</v>
      </c>
      <c r="AO2" s="7">
        <v>2020.0</v>
      </c>
    </row>
    <row r="3">
      <c r="A3" s="7" t="s">
        <v>123</v>
      </c>
      <c r="B3" s="14"/>
      <c r="C3" s="14"/>
      <c r="D3" s="14"/>
      <c r="E3" s="14"/>
      <c r="F3" s="14"/>
      <c r="G3" s="14"/>
      <c r="H3" s="14"/>
      <c r="I3" s="13">
        <v>3737.0</v>
      </c>
      <c r="J3" s="13">
        <v>3712.0</v>
      </c>
      <c r="K3" s="13">
        <v>3761.0</v>
      </c>
      <c r="L3" s="13">
        <v>7677.0</v>
      </c>
      <c r="M3" s="13">
        <v>7709.0</v>
      </c>
      <c r="N3" s="13">
        <v>7290.0</v>
      </c>
    </row>
    <row r="4">
      <c r="A4" s="13" t="s">
        <v>124</v>
      </c>
      <c r="B4" s="13"/>
      <c r="C4" s="13">
        <v>225.326</v>
      </c>
      <c r="D4" s="13"/>
      <c r="E4" s="13"/>
      <c r="F4" s="13">
        <v>426.0</v>
      </c>
      <c r="G4" s="13">
        <v>484.0</v>
      </c>
      <c r="H4" s="13">
        <v>372.0</v>
      </c>
      <c r="I4" s="14">
        <f t="shared" ref="I4:N4" si="1">I3*365/1000</f>
        <v>1364.005</v>
      </c>
      <c r="J4" s="14">
        <f t="shared" si="1"/>
        <v>1354.88</v>
      </c>
      <c r="K4" s="14">
        <f t="shared" si="1"/>
        <v>1372.765</v>
      </c>
      <c r="L4" s="14">
        <f t="shared" si="1"/>
        <v>2802.105</v>
      </c>
      <c r="M4" s="14">
        <f t="shared" si="1"/>
        <v>2813.785</v>
      </c>
      <c r="N4" s="14">
        <f t="shared" si="1"/>
        <v>2660.85</v>
      </c>
      <c r="O4" s="14">
        <f t="shared" ref="O4:Q4" si="2">O47+O48+O49/6</f>
        <v>331.4</v>
      </c>
      <c r="P4" s="14">
        <f t="shared" si="2"/>
        <v>302.3333333</v>
      </c>
      <c r="Q4" s="14">
        <f t="shared" si="2"/>
        <v>275.9333333</v>
      </c>
      <c r="R4" s="14">
        <f t="shared" ref="R4:T4" si="3">R54+R55+R56/6</f>
        <v>554.1308333</v>
      </c>
      <c r="S4" s="14">
        <f t="shared" si="3"/>
        <v>500.2325</v>
      </c>
      <c r="T4" s="14">
        <f t="shared" si="3"/>
        <v>339.5108333</v>
      </c>
      <c r="U4" s="14">
        <f t="shared" ref="U4:AB4" si="4">U47+U48+U49/6</f>
        <v>222.3333333</v>
      </c>
      <c r="V4" s="14">
        <f t="shared" si="4"/>
        <v>208.1666667</v>
      </c>
      <c r="W4" s="14">
        <f t="shared" si="4"/>
        <v>122.8333333</v>
      </c>
      <c r="X4" s="14">
        <f t="shared" si="4"/>
        <v>125.5118333</v>
      </c>
      <c r="Y4" s="14">
        <f t="shared" si="4"/>
        <v>114.9395</v>
      </c>
      <c r="Z4" s="14">
        <f t="shared" si="4"/>
        <v>121.3235</v>
      </c>
      <c r="AA4" s="14">
        <f t="shared" si="4"/>
        <v>140.892</v>
      </c>
      <c r="AB4" s="14">
        <f t="shared" si="4"/>
        <v>137.0023333</v>
      </c>
      <c r="AC4" s="14"/>
      <c r="AD4" s="14">
        <f t="shared" ref="AD4:AE4" si="5">AD47+AD48+AD49/6</f>
        <v>231.2896667</v>
      </c>
      <c r="AE4" s="14">
        <f t="shared" si="5"/>
        <v>167.0873333</v>
      </c>
      <c r="AF4" s="14"/>
      <c r="AG4" s="14">
        <f t="shared" ref="AG4:AN4" si="6">AG47+AG48+AG49/6</f>
        <v>144.6166667</v>
      </c>
      <c r="AH4" s="14">
        <f t="shared" si="6"/>
        <v>141.5666667</v>
      </c>
      <c r="AI4" s="14">
        <f t="shared" si="6"/>
        <v>160.9</v>
      </c>
      <c r="AJ4" s="14">
        <f t="shared" si="6"/>
        <v>323.3333333</v>
      </c>
      <c r="AK4" s="14">
        <f t="shared" si="6"/>
        <v>309.6361667</v>
      </c>
      <c r="AL4" s="14">
        <f t="shared" si="6"/>
        <v>249.632</v>
      </c>
      <c r="AM4" s="14">
        <f t="shared" si="6"/>
        <v>175.1666667</v>
      </c>
      <c r="AN4" s="14">
        <f t="shared" si="6"/>
        <v>185.1666667</v>
      </c>
      <c r="AO4" s="14"/>
    </row>
    <row r="5">
      <c r="A5" s="10" t="s">
        <v>12</v>
      </c>
      <c r="B5" s="10"/>
      <c r="C5" s="10">
        <v>14643.0</v>
      </c>
      <c r="D5" s="10"/>
      <c r="E5" s="10"/>
      <c r="F5" s="10">
        <v>25956.0</v>
      </c>
      <c r="G5" s="10">
        <v>17809.0</v>
      </c>
      <c r="H5" s="10">
        <v>20911.0</v>
      </c>
      <c r="I5" s="10">
        <v>413680.0</v>
      </c>
      <c r="J5" s="10">
        <v>285640.0</v>
      </c>
      <c r="K5" s="10">
        <v>181502.0</v>
      </c>
      <c r="L5" s="10">
        <v>235717.0</v>
      </c>
      <c r="M5" s="10">
        <v>155606.0</v>
      </c>
      <c r="N5" s="10">
        <v>94471.0</v>
      </c>
      <c r="O5" s="10">
        <v>25702.0</v>
      </c>
      <c r="P5" s="10">
        <v>18642.0</v>
      </c>
      <c r="Q5" s="10">
        <v>11032.0</v>
      </c>
      <c r="R5" s="10">
        <v>82156.0</v>
      </c>
      <c r="S5" s="10">
        <v>48349.0</v>
      </c>
      <c r="T5" s="10">
        <v>19256.0</v>
      </c>
      <c r="U5" s="10">
        <v>19169.0</v>
      </c>
      <c r="V5" s="10">
        <v>12206.0</v>
      </c>
      <c r="W5" s="10">
        <v>4828.0</v>
      </c>
      <c r="X5" s="10">
        <v>11570.0</v>
      </c>
      <c r="Y5" s="10">
        <v>7583.0</v>
      </c>
      <c r="Z5" s="10">
        <v>4804.0</v>
      </c>
      <c r="AA5" s="10">
        <v>9643.0</v>
      </c>
      <c r="AB5" s="10">
        <v>6797.0</v>
      </c>
      <c r="AC5" s="10">
        <v>2813.0</v>
      </c>
      <c r="AD5" s="10">
        <v>9051.0</v>
      </c>
      <c r="AE5" s="10">
        <v>3449.0</v>
      </c>
      <c r="AF5" s="10">
        <v>1466.0</v>
      </c>
      <c r="AG5" s="10">
        <v>12132.0</v>
      </c>
      <c r="AH5" s="10">
        <v>7928.0</v>
      </c>
      <c r="AI5" s="10">
        <v>4308.0</v>
      </c>
      <c r="AJ5" s="10">
        <v>7497.689</v>
      </c>
      <c r="AK5" s="10">
        <v>3064.663</v>
      </c>
      <c r="AL5" s="10">
        <v>3058.843</v>
      </c>
      <c r="AM5" s="10">
        <v>15002.0</v>
      </c>
      <c r="AN5" s="10">
        <v>6667.0</v>
      </c>
      <c r="AO5" s="10">
        <v>2308.0</v>
      </c>
    </row>
    <row r="6">
      <c r="B6" s="14"/>
      <c r="C6" s="14"/>
    </row>
    <row r="7">
      <c r="A7" s="7" t="s">
        <v>13</v>
      </c>
      <c r="B7" s="14"/>
      <c r="C7" s="14"/>
    </row>
    <row r="8">
      <c r="A8" s="10" t="s">
        <v>14</v>
      </c>
      <c r="B8" s="10">
        <v>11348.0</v>
      </c>
      <c r="C8" s="10">
        <v>6046.0</v>
      </c>
      <c r="D8" s="10">
        <v>2070.0</v>
      </c>
      <c r="E8" s="10">
        <v>16810.0</v>
      </c>
      <c r="F8" s="10">
        <v>10434.0</v>
      </c>
      <c r="G8" s="10">
        <v>3955.0</v>
      </c>
      <c r="H8" s="16"/>
      <c r="I8" s="10">
        <v>76797.0</v>
      </c>
      <c r="J8" s="10">
        <v>48129.0</v>
      </c>
      <c r="K8" s="10">
        <v>14688.0</v>
      </c>
      <c r="L8" s="10">
        <v>49602.0</v>
      </c>
      <c r="M8" s="10">
        <v>29187.0</v>
      </c>
      <c r="N8" s="10">
        <v>10577.0</v>
      </c>
      <c r="O8" s="10">
        <v>11093.0</v>
      </c>
      <c r="P8" s="10">
        <v>8791.0</v>
      </c>
      <c r="Q8" s="10">
        <v>5008.0</v>
      </c>
      <c r="R8" s="10">
        <v>28314.0</v>
      </c>
      <c r="S8" s="10">
        <v>16996.0</v>
      </c>
      <c r="T8" s="10">
        <v>4802.0</v>
      </c>
      <c r="U8" s="10">
        <v>8530.0</v>
      </c>
      <c r="V8" s="10">
        <v>4899.0</v>
      </c>
      <c r="W8" s="10">
        <v>1464.0</v>
      </c>
      <c r="X8" s="10">
        <v>3944.0</v>
      </c>
      <c r="Y8" s="10">
        <v>2890.0</v>
      </c>
      <c r="Z8" s="10">
        <v>1333.0</v>
      </c>
      <c r="AA8" s="10">
        <v>6325.0</v>
      </c>
      <c r="AB8" s="10">
        <v>3944.0</v>
      </c>
      <c r="AC8" s="10">
        <v>2118.0</v>
      </c>
      <c r="AD8" s="10">
        <v>5456.0</v>
      </c>
      <c r="AE8" s="10">
        <v>1667.0</v>
      </c>
      <c r="AF8" s="10">
        <v>778.0</v>
      </c>
      <c r="AG8" s="10">
        <v>4943.0</v>
      </c>
      <c r="AH8" s="10">
        <v>3496.0</v>
      </c>
      <c r="AI8" s="10">
        <v>1388.0</v>
      </c>
      <c r="AJ8" s="10">
        <v>3465.56</v>
      </c>
      <c r="AK8" s="10">
        <v>1662.448</v>
      </c>
      <c r="AL8" s="10">
        <v>1537.701</v>
      </c>
      <c r="AM8" s="10">
        <v>3154.0</v>
      </c>
      <c r="AN8" s="10">
        <v>1363.0</v>
      </c>
      <c r="AO8" s="10">
        <v>528.0</v>
      </c>
    </row>
    <row r="9">
      <c r="A9" s="10" t="s">
        <v>15</v>
      </c>
      <c r="B9" s="16">
        <f>-3920-113</f>
        <v>-4033</v>
      </c>
      <c r="C9" s="16">
        <f>-3156-118</f>
        <v>-3274</v>
      </c>
      <c r="D9" s="16">
        <f>-1589-126</f>
        <v>-1715</v>
      </c>
      <c r="E9" s="16">
        <f>-4497+147</f>
        <v>-4350</v>
      </c>
      <c r="F9" s="16">
        <f>-2870+97</f>
        <v>-2773</v>
      </c>
      <c r="G9" s="16">
        <f>-2535-519</f>
        <v>-3054</v>
      </c>
      <c r="H9" s="16"/>
      <c r="I9" s="10">
        <v>-18407.0</v>
      </c>
      <c r="J9" s="10">
        <v>-12076.0</v>
      </c>
      <c r="K9" s="10">
        <v>-17282.0</v>
      </c>
      <c r="L9" s="16">
        <f>-2862-11974+2635</f>
        <v>-12201</v>
      </c>
      <c r="M9" s="16">
        <f>-8056+1791</f>
        <v>-6265</v>
      </c>
      <c r="N9" s="16">
        <f>373-8922+2968</f>
        <v>-5581</v>
      </c>
      <c r="O9" s="16">
        <f>-4619-381-30-375</f>
        <v>-5405</v>
      </c>
      <c r="P9" s="16">
        <f>-3638-212+200</f>
        <v>-3650</v>
      </c>
      <c r="Q9" s="16">
        <f>-3244-221-75</f>
        <v>-3540</v>
      </c>
      <c r="R9" s="16">
        <f>-10159+520</f>
        <v>-9639</v>
      </c>
      <c r="S9" s="16">
        <f>134-5324</f>
        <v>-5190</v>
      </c>
      <c r="T9" s="16">
        <f>-4715-155</f>
        <v>-4870</v>
      </c>
      <c r="U9" s="10">
        <v>-2542.0</v>
      </c>
      <c r="V9" s="10">
        <v>-1989.0</v>
      </c>
      <c r="W9" s="10">
        <v>-1153.0</v>
      </c>
      <c r="X9" s="10">
        <v>-2555.0</v>
      </c>
      <c r="Y9" s="10">
        <v>-1325.0</v>
      </c>
      <c r="Z9" s="10">
        <v>-1707.0</v>
      </c>
      <c r="AA9" s="16">
        <f>-1854-84</f>
        <v>-1938</v>
      </c>
      <c r="AB9" s="16">
        <f>-1457-30</f>
        <v>-1487</v>
      </c>
      <c r="AC9" s="11">
        <f>-1719-140</f>
        <v>-1859</v>
      </c>
      <c r="AD9" s="10">
        <v>-1674.0</v>
      </c>
      <c r="AE9" s="10">
        <v>313.0</v>
      </c>
      <c r="AF9" s="10">
        <v>-584.0</v>
      </c>
      <c r="AG9" s="16">
        <f>-1511</f>
        <v>-1511</v>
      </c>
      <c r="AH9" s="10">
        <f>-833</f>
        <v>-833</v>
      </c>
      <c r="AI9" s="16">
        <f>-1466</f>
        <v>-1466</v>
      </c>
      <c r="AJ9" s="10">
        <v>-1421.753</v>
      </c>
      <c r="AK9" s="10">
        <v>-2072.742</v>
      </c>
      <c r="AL9" s="10">
        <v>-1555.8</v>
      </c>
      <c r="AM9" s="10">
        <v>-2043.0</v>
      </c>
      <c r="AN9" s="10">
        <v>-2604.0</v>
      </c>
      <c r="AO9" s="10">
        <v>-881.0</v>
      </c>
    </row>
    <row r="10">
      <c r="A10" s="10" t="s">
        <v>16</v>
      </c>
      <c r="B10" s="16">
        <f>367+1100-1020</f>
        <v>447</v>
      </c>
      <c r="C10" s="16">
        <f>3244-826</f>
        <v>2418</v>
      </c>
      <c r="D10" s="16">
        <f>60</f>
        <v>60</v>
      </c>
      <c r="E10" s="16">
        <f>-990+584-116</f>
        <v>-522</v>
      </c>
      <c r="F10" s="16">
        <f>-431+1624+406</f>
        <v>1599</v>
      </c>
      <c r="G10" s="16">
        <f>-114+2281+109</f>
        <v>2276</v>
      </c>
      <c r="H10" s="16"/>
      <c r="I10" s="16">
        <f>5247-3090+1508</f>
        <v>3665</v>
      </c>
      <c r="J10" s="16">
        <f>3176-2817+1482</f>
        <v>1841</v>
      </c>
      <c r="K10" s="16">
        <f>999-4857+2681</f>
        <v>-1177</v>
      </c>
      <c r="L10" s="16"/>
      <c r="M10" s="16"/>
      <c r="N10" s="16"/>
      <c r="O10" s="10">
        <v>349.0</v>
      </c>
      <c r="P10" s="10">
        <v>231.0</v>
      </c>
      <c r="Q10" s="10">
        <v>192.0</v>
      </c>
      <c r="R10" s="10">
        <f>3471-60</f>
        <v>3411</v>
      </c>
      <c r="S10" s="16">
        <f>-8290+1653</f>
        <v>-6637</v>
      </c>
      <c r="T10" s="16">
        <f>1317</f>
        <v>1317</v>
      </c>
      <c r="U10" s="16">
        <f>-5123+2542</f>
        <v>-2581</v>
      </c>
      <c r="V10" s="16">
        <f>-1574+1989</f>
        <v>415</v>
      </c>
      <c r="W10" s="16">
        <f>-1127+1153</f>
        <v>26</v>
      </c>
      <c r="X10" s="16"/>
      <c r="Y10" s="16"/>
      <c r="Z10" s="16"/>
      <c r="AA10" s="16">
        <f>-1567-108+327-44</f>
        <v>-1392</v>
      </c>
      <c r="AB10" s="16">
        <f>-827+40+820-85</f>
        <v>-52</v>
      </c>
      <c r="AC10" s="16">
        <f>-198-51+63-56</f>
        <v>-242</v>
      </c>
      <c r="AD10" s="16"/>
      <c r="AE10" s="16"/>
      <c r="AF10" s="16"/>
      <c r="AG10" s="16"/>
      <c r="AH10" s="16"/>
      <c r="AI10" s="16"/>
      <c r="AJ10" s="16"/>
      <c r="AK10" s="16"/>
      <c r="AL10" s="16"/>
      <c r="AM10" s="16"/>
      <c r="AN10" s="16"/>
      <c r="AO10" s="16"/>
    </row>
    <row r="11">
      <c r="A11" s="10" t="s">
        <v>63</v>
      </c>
      <c r="B11" s="16"/>
      <c r="C11" s="16"/>
      <c r="D11" s="16"/>
      <c r="E11" s="16">
        <f>-9484</f>
        <v>-9484</v>
      </c>
      <c r="F11" s="16">
        <f>-6834</f>
        <v>-6834</v>
      </c>
      <c r="G11" s="10">
        <f>6936-8916</f>
        <v>-1980</v>
      </c>
      <c r="H11" s="16"/>
      <c r="I11" s="16"/>
      <c r="J11" s="16"/>
      <c r="K11" s="16"/>
      <c r="L11" s="16"/>
      <c r="M11" s="16"/>
      <c r="N11" s="16"/>
      <c r="O11" s="16"/>
      <c r="P11" s="16"/>
      <c r="Q11" s="16"/>
      <c r="R11" s="16"/>
      <c r="S11" s="10"/>
      <c r="T11" s="16"/>
      <c r="U11" s="16"/>
      <c r="V11" s="16"/>
      <c r="W11" s="16"/>
      <c r="X11" s="16"/>
      <c r="Y11" s="16"/>
      <c r="Z11" s="16"/>
      <c r="AA11" s="16"/>
      <c r="AB11" s="16"/>
      <c r="AC11" s="16"/>
      <c r="AD11" s="16"/>
      <c r="AE11" s="16"/>
      <c r="AF11" s="16"/>
      <c r="AG11" s="16"/>
      <c r="AH11" s="16"/>
      <c r="AI11" s="16"/>
      <c r="AJ11" s="16"/>
      <c r="AK11" s="16"/>
      <c r="AL11" s="16"/>
      <c r="AM11" s="16"/>
      <c r="AN11" s="16"/>
      <c r="AO11" s="16"/>
    </row>
    <row r="12">
      <c r="A12" s="10" t="s">
        <v>64</v>
      </c>
      <c r="B12" s="16"/>
      <c r="C12" s="16"/>
      <c r="D12" s="10"/>
      <c r="E12" s="10">
        <v>-1184.0</v>
      </c>
      <c r="F12" s="10">
        <v>-839.0</v>
      </c>
      <c r="G12" s="10">
        <v>-1845.0</v>
      </c>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row>
    <row r="13">
      <c r="A13" s="10" t="s">
        <v>65</v>
      </c>
      <c r="B13" s="16"/>
      <c r="C13" s="16"/>
      <c r="D13" s="10"/>
      <c r="E13" s="10">
        <f>293-3099</f>
        <v>-2806</v>
      </c>
      <c r="F13" s="10">
        <f>31-8</f>
        <v>23</v>
      </c>
      <c r="G13" s="10">
        <f>134-12</f>
        <v>122</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row>
    <row r="14">
      <c r="A14" s="10" t="s">
        <v>66</v>
      </c>
      <c r="B14" s="16"/>
      <c r="C14" s="16"/>
      <c r="D14" s="10"/>
      <c r="E14" s="10">
        <v>-130.0</v>
      </c>
      <c r="F14" s="10">
        <v>-80.0</v>
      </c>
      <c r="G14" s="10">
        <v>-57.0</v>
      </c>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row>
    <row r="15">
      <c r="A15" s="23" t="s">
        <v>17</v>
      </c>
      <c r="B15" s="24">
        <f>sum(B9:D10)/sum(B8:D8)</f>
        <v>-0.3132449651</v>
      </c>
      <c r="C15" s="24"/>
      <c r="D15" s="24"/>
      <c r="E15" s="24">
        <f>sum(E9:G10)/sum(E8:G8)</f>
        <v>-0.2187249591</v>
      </c>
      <c r="F15" s="24"/>
      <c r="G15" s="24"/>
      <c r="H15" s="24"/>
      <c r="I15" s="24">
        <f>sum(I9:K10)/sum(I8:K8)</f>
        <v>-0.3111149312</v>
      </c>
      <c r="J15" s="24"/>
      <c r="K15" s="24"/>
      <c r="L15" s="24">
        <f>sum(L9:N10)/sum(L8:N8)</f>
        <v>-0.2690844393</v>
      </c>
      <c r="M15" s="24"/>
      <c r="N15" s="24"/>
      <c r="O15" s="24">
        <f>sum(O9:Q10)/sum(O8:Q8)</f>
        <v>-0.4749718785</v>
      </c>
      <c r="P15" s="24"/>
      <c r="Q15" s="24"/>
      <c r="R15" s="24">
        <f>sum(R9:T10)/sum(R8:T8)</f>
        <v>-0.4311941252</v>
      </c>
      <c r="S15" s="24"/>
      <c r="T15" s="24"/>
      <c r="U15" s="24">
        <f>sum(U9:W10)/sum(U8:W8)</f>
        <v>-0.5253474787</v>
      </c>
      <c r="V15" s="24"/>
      <c r="W15" s="24"/>
      <c r="X15" s="24">
        <f>sum(X9:Z10)/sum(X8:Z8)</f>
        <v>-0.6840945268</v>
      </c>
      <c r="Y15" s="24"/>
      <c r="Z15" s="24"/>
      <c r="AA15" s="24">
        <f>sum(AA9:AC10)/sum(AA8:AC8)</f>
        <v>-0.5626866877</v>
      </c>
      <c r="AB15" s="24"/>
      <c r="AC15" s="24"/>
      <c r="AD15" s="24">
        <f>sum(AD9:AF10)/sum(AD8:AF8)</f>
        <v>-0.2461713707</v>
      </c>
      <c r="AE15" s="24"/>
      <c r="AF15" s="24"/>
      <c r="AG15" s="24">
        <f>sum(AG9:AI10)/sum(AG8:AI8)</f>
        <v>-0.3877073369</v>
      </c>
      <c r="AH15" s="24"/>
      <c r="AI15" s="24"/>
      <c r="AJ15" s="24">
        <f>sum(AJ9:AL10)/sum(AJ8:AL8)</f>
        <v>-0.7576530869</v>
      </c>
      <c r="AK15" s="24"/>
      <c r="AL15" s="24"/>
      <c r="AM15" s="24">
        <f>sum(AM9:AO10)/sum(AM8:AO8)</f>
        <v>-1.095738355</v>
      </c>
      <c r="AN15" s="24"/>
      <c r="AO15" s="24"/>
    </row>
    <row r="16">
      <c r="A16" s="7"/>
      <c r="B16" s="14"/>
      <c r="C16" s="14"/>
    </row>
    <row r="17">
      <c r="A17" s="7" t="s">
        <v>18</v>
      </c>
      <c r="B17" s="14"/>
      <c r="C17" s="14"/>
    </row>
    <row r="18">
      <c r="A18" s="13" t="s">
        <v>19</v>
      </c>
      <c r="B18" s="14"/>
      <c r="C18" s="14">
        <f>3250000*0.87</f>
        <v>2827500</v>
      </c>
      <c r="D18" s="13"/>
      <c r="E18" s="13"/>
      <c r="F18" s="13">
        <v>1.85E7</v>
      </c>
      <c r="G18" s="13">
        <v>1.902E7</v>
      </c>
      <c r="H18" s="13">
        <v>2.162E7</v>
      </c>
      <c r="I18" s="13">
        <v>1.09E8</v>
      </c>
      <c r="J18" s="13">
        <v>1.1E8</v>
      </c>
      <c r="K18" s="13">
        <v>1.08E8</v>
      </c>
      <c r="L18" s="13">
        <v>5.3E7</v>
      </c>
      <c r="M18" s="13">
        <v>5.7E7</v>
      </c>
      <c r="N18" s="13">
        <v>5.4E7</v>
      </c>
      <c r="O18" s="14"/>
      <c r="P18" s="13">
        <v>4972755.0</v>
      </c>
      <c r="Q18" s="13">
        <v>4500000.0</v>
      </c>
      <c r="R18" s="14"/>
      <c r="S18" s="13">
        <v>1.76902E7</v>
      </c>
      <c r="T18" s="14">
        <f>16200000*0.946</f>
        <v>15325200</v>
      </c>
      <c r="U18" s="14"/>
      <c r="V18" s="13">
        <v>3080000.0</v>
      </c>
      <c r="W18" s="13">
        <v>3910000.0</v>
      </c>
      <c r="X18" s="14"/>
      <c r="Y18" s="13"/>
      <c r="Z18" s="13"/>
      <c r="AB18" s="13">
        <v>1252665.0</v>
      </c>
      <c r="AC18" s="13">
        <v>1192556.0</v>
      </c>
      <c r="AD18" s="14"/>
      <c r="AE18" s="13">
        <v>1515275.0</v>
      </c>
      <c r="AF18" s="13">
        <v>1834657.0</v>
      </c>
      <c r="AG18" s="14"/>
      <c r="AH18" s="13">
        <v>6000000.0</v>
      </c>
      <c r="AI18" s="13">
        <v>6280000.0</v>
      </c>
      <c r="AJ18" s="13">
        <f>429118+106939</f>
        <v>536057</v>
      </c>
      <c r="AK18" s="13">
        <f>535923+109215</f>
        <v>645138</v>
      </c>
      <c r="AL18" s="13">
        <v>599748.0</v>
      </c>
      <c r="AM18" s="13"/>
      <c r="AN18" s="13">
        <v>1548000.0</v>
      </c>
      <c r="AO18" s="13"/>
    </row>
    <row r="19">
      <c r="A19" s="13" t="s">
        <v>20</v>
      </c>
      <c r="B19" s="14"/>
      <c r="C19" s="14">
        <f>3250000*0.13</f>
        <v>422500</v>
      </c>
      <c r="D19" s="13"/>
      <c r="E19" s="13"/>
      <c r="F19" s="13">
        <v>4840000.0</v>
      </c>
      <c r="G19" s="13">
        <v>4810000.0</v>
      </c>
      <c r="H19" s="13">
        <v>5910000.0</v>
      </c>
      <c r="I19" s="13">
        <v>7000000.0</v>
      </c>
      <c r="J19" s="13">
        <v>7000000.0</v>
      </c>
      <c r="K19" s="13">
        <v>8000000.0</v>
      </c>
      <c r="L19" s="13">
        <v>4000000.0</v>
      </c>
      <c r="M19" s="13">
        <v>4000000.0</v>
      </c>
      <c r="N19" s="13">
        <v>4000000.0</v>
      </c>
      <c r="O19" s="14"/>
      <c r="P19" s="13">
        <v>400000.0</v>
      </c>
      <c r="Q19" s="13">
        <v>40000.0</v>
      </c>
      <c r="R19" s="14"/>
      <c r="S19" s="14">
        <f>0.054*18700000</f>
        <v>1009800</v>
      </c>
      <c r="T19" s="14">
        <f>16200000*0.054</f>
        <v>874800</v>
      </c>
      <c r="U19" s="14"/>
      <c r="V19" s="13">
        <v>340000.0</v>
      </c>
      <c r="W19" s="13">
        <v>340000.0</v>
      </c>
      <c r="X19" s="14"/>
      <c r="Y19" s="13"/>
      <c r="Z19" s="13"/>
      <c r="AA19" s="14"/>
      <c r="AB19" s="13">
        <v>528224.0</v>
      </c>
      <c r="AC19" s="13">
        <v>281020.0</v>
      </c>
      <c r="AD19" s="14"/>
      <c r="AE19" s="13">
        <v>136224.0</v>
      </c>
      <c r="AF19" s="13">
        <v>96454.0</v>
      </c>
      <c r="AG19" s="14"/>
      <c r="AH19" s="13">
        <v>340000.0</v>
      </c>
      <c r="AI19" s="13">
        <v>490000.0</v>
      </c>
      <c r="AJ19" s="13">
        <f>49418+98346</f>
        <v>147764</v>
      </c>
      <c r="AK19" s="13">
        <f>54600+136670</f>
        <v>191270</v>
      </c>
      <c r="AL19" s="13">
        <f>48720</f>
        <v>48720</v>
      </c>
      <c r="AM19" s="13"/>
      <c r="AN19" s="13">
        <v>5910.0</v>
      </c>
      <c r="AO19" s="13"/>
    </row>
    <row r="20">
      <c r="A20" s="13" t="s">
        <v>21</v>
      </c>
      <c r="B20" s="14"/>
      <c r="C20" s="14"/>
      <c r="D20" s="13"/>
      <c r="E20" s="13"/>
      <c r="F20" s="13">
        <v>2.12E8</v>
      </c>
      <c r="G20" s="13">
        <v>2.26E8</v>
      </c>
      <c r="H20" s="13">
        <v>2.59E8</v>
      </c>
      <c r="I20" s="14"/>
      <c r="J20" s="14"/>
      <c r="K20" s="14"/>
      <c r="L20" s="14"/>
      <c r="M20" s="14"/>
      <c r="N20" s="14"/>
      <c r="O20" s="14"/>
      <c r="P20" s="14"/>
      <c r="Q20" s="14"/>
      <c r="R20" s="14"/>
      <c r="S20" s="14"/>
      <c r="T20" s="14"/>
      <c r="U20" s="14"/>
      <c r="W20" s="14"/>
      <c r="X20" s="14"/>
      <c r="Y20" s="14"/>
      <c r="Z20" s="14"/>
      <c r="AA20" s="14"/>
      <c r="AB20" s="14"/>
      <c r="AC20" s="14"/>
      <c r="AD20" s="14"/>
      <c r="AE20" s="14"/>
      <c r="AF20" s="14"/>
      <c r="AG20" s="14"/>
      <c r="AH20" s="14"/>
      <c r="AI20" s="14"/>
      <c r="AJ20" s="14"/>
      <c r="AK20" s="14"/>
      <c r="AL20" s="14"/>
      <c r="AM20" s="14"/>
      <c r="AN20" s="14"/>
      <c r="AO20" s="14"/>
    </row>
    <row r="21">
      <c r="A21" s="13" t="s">
        <v>125</v>
      </c>
      <c r="B21" s="13"/>
      <c r="C21" s="13">
        <v>1.11E7</v>
      </c>
      <c r="D21" s="14"/>
      <c r="E21" s="14"/>
      <c r="F21" s="14"/>
      <c r="G21" s="14"/>
      <c r="H21" s="14"/>
      <c r="I21" s="14"/>
      <c r="J21" s="14"/>
      <c r="K21" s="14"/>
      <c r="L21" s="14"/>
      <c r="M21" s="14"/>
      <c r="N21" s="14"/>
      <c r="O21" s="14"/>
      <c r="P21" s="14"/>
      <c r="Q21" s="14"/>
      <c r="R21" s="14"/>
      <c r="S21" s="13">
        <v>9000000.0</v>
      </c>
      <c r="T21" s="14"/>
      <c r="U21" s="14"/>
      <c r="V21" s="14"/>
      <c r="W21" s="14"/>
      <c r="X21" s="14"/>
      <c r="Y21" s="14"/>
      <c r="Z21" s="14"/>
      <c r="AA21" s="14"/>
      <c r="AB21" s="14"/>
      <c r="AC21" s="14"/>
      <c r="AD21" s="14"/>
      <c r="AE21" s="14"/>
      <c r="AF21" s="14"/>
      <c r="AG21" s="14"/>
      <c r="AH21" s="14"/>
      <c r="AI21" s="14"/>
      <c r="AJ21" s="14"/>
      <c r="AK21" s="14"/>
      <c r="AL21" s="14"/>
      <c r="AM21" s="14"/>
      <c r="AN21" s="14"/>
      <c r="AO21" s="14"/>
    </row>
    <row r="22">
      <c r="A22" s="13" t="s">
        <v>126</v>
      </c>
      <c r="B22" s="13"/>
      <c r="C22" s="13">
        <v>2.59E7</v>
      </c>
      <c r="D22" s="14"/>
      <c r="E22" s="14"/>
      <c r="F22" s="14"/>
      <c r="G22" s="14"/>
      <c r="H22" s="14"/>
      <c r="I22" s="14"/>
      <c r="J22" s="14"/>
      <c r="K22" s="14"/>
      <c r="L22" s="14"/>
      <c r="M22" s="14"/>
      <c r="N22" s="14"/>
      <c r="O22" s="14"/>
      <c r="P22" s="14"/>
      <c r="Q22" s="14"/>
      <c r="R22" s="14"/>
      <c r="S22" s="13">
        <v>1.3E7</v>
      </c>
      <c r="T22" s="14"/>
      <c r="U22" s="14"/>
      <c r="V22" s="14"/>
      <c r="W22" s="14"/>
      <c r="X22" s="14"/>
      <c r="Y22" s="14"/>
      <c r="Z22" s="14"/>
      <c r="AA22" s="14"/>
      <c r="AB22" s="14"/>
      <c r="AC22" s="14"/>
      <c r="AD22" s="14"/>
      <c r="AE22" s="14"/>
      <c r="AF22" s="14"/>
      <c r="AG22" s="14"/>
      <c r="AH22" s="14"/>
      <c r="AI22" s="14"/>
      <c r="AJ22" s="14"/>
      <c r="AK22" s="14"/>
      <c r="AL22" s="14"/>
      <c r="AM22" s="14"/>
      <c r="AN22" s="14"/>
      <c r="AO22" s="14"/>
    </row>
    <row r="23">
      <c r="A23" s="13" t="s">
        <v>127</v>
      </c>
      <c r="B23" s="13"/>
      <c r="C23" s="13">
        <v>1.12E8</v>
      </c>
      <c r="D23" s="14"/>
      <c r="E23" s="14"/>
      <c r="F23" s="14"/>
      <c r="G23" s="14"/>
      <c r="H23" s="14"/>
      <c r="I23" s="13">
        <v>5.4E8</v>
      </c>
      <c r="J23" s="14"/>
      <c r="K23" s="14"/>
      <c r="L23" s="13">
        <v>6.68E8</v>
      </c>
      <c r="M23" s="13">
        <v>6.11E8</v>
      </c>
      <c r="N23" s="13">
        <v>5.83E8</v>
      </c>
      <c r="O23" s="14"/>
      <c r="P23" s="14"/>
      <c r="Q23" s="14"/>
      <c r="R23" s="14"/>
      <c r="S23" s="13">
        <v>1.98E8</v>
      </c>
      <c r="T23" s="14"/>
      <c r="U23" s="14"/>
      <c r="V23" s="13">
        <v>7.3E7</v>
      </c>
      <c r="W23" s="13">
        <v>4.9E7</v>
      </c>
      <c r="X23" s="14"/>
      <c r="Y23" s="14"/>
      <c r="Z23" s="14"/>
      <c r="AA23" s="14"/>
      <c r="AB23" s="14"/>
      <c r="AC23" s="14"/>
      <c r="AD23" s="14"/>
      <c r="AE23" s="14"/>
      <c r="AF23" s="14"/>
      <c r="AG23" s="14"/>
      <c r="AH23" s="14"/>
      <c r="AI23" s="14"/>
      <c r="AJ23" s="13">
        <v>1.01018251E8</v>
      </c>
      <c r="AK23" s="13">
        <v>1.00939396E8</v>
      </c>
      <c r="AL23" s="13">
        <v>8.7465365E7</v>
      </c>
      <c r="AM23" s="13"/>
      <c r="AN23" s="13"/>
      <c r="AO23" s="13"/>
    </row>
    <row r="24">
      <c r="A24" s="13" t="s">
        <v>128</v>
      </c>
      <c r="B24" s="13"/>
      <c r="C24" s="13">
        <v>422500.0</v>
      </c>
      <c r="D24" s="13"/>
      <c r="E24" s="13"/>
      <c r="F24" s="13">
        <v>1915000.0</v>
      </c>
      <c r="G24" s="13">
        <v>2855000.0</v>
      </c>
      <c r="H24" s="13">
        <v>2736000.0</v>
      </c>
      <c r="I24" s="13">
        <v>4000000.0</v>
      </c>
      <c r="J24" s="13">
        <v>5000000.0</v>
      </c>
      <c r="K24" s="13">
        <v>5000000.0</v>
      </c>
      <c r="L24" s="13">
        <f>1800000+200000+300000</f>
        <v>2300000</v>
      </c>
      <c r="M24" s="13">
        <f>2100000+200000+300000</f>
        <v>2600000</v>
      </c>
      <c r="N24" s="13">
        <f>2100000+100000+200000</f>
        <v>2400000</v>
      </c>
      <c r="O24" s="14"/>
      <c r="P24" s="13">
        <v>232261.0</v>
      </c>
      <c r="Q24" s="13">
        <v>300000.0</v>
      </c>
      <c r="R24" s="14"/>
      <c r="S24" s="13">
        <v>1800000.0</v>
      </c>
      <c r="T24" s="13">
        <v>1600000.0</v>
      </c>
      <c r="U24" s="14"/>
      <c r="V24" s="13">
        <v>450000.0</v>
      </c>
      <c r="W24" s="13">
        <v>520000.0</v>
      </c>
      <c r="X24" s="14"/>
      <c r="Y24" s="14">
        <f>209900+1000</f>
        <v>210900</v>
      </c>
      <c r="Z24" s="14">
        <f>270700+1100</f>
        <v>271800</v>
      </c>
      <c r="AA24" s="14"/>
      <c r="AB24" s="14">
        <f>4779.4*25</f>
        <v>119485</v>
      </c>
      <c r="AC24" s="14">
        <f>5079*25</f>
        <v>126975</v>
      </c>
      <c r="AD24" s="14"/>
      <c r="AE24" s="14">
        <f>15.7%*AE18</f>
        <v>237898.175</v>
      </c>
      <c r="AF24" s="14">
        <f>25.5%*1515275</f>
        <v>386395.125</v>
      </c>
      <c r="AG24" s="14"/>
      <c r="AH24" s="13">
        <v>1130000.0</v>
      </c>
      <c r="AI24" s="13">
        <v>1400000.0</v>
      </c>
      <c r="AJ24" s="14"/>
      <c r="AK24" s="14"/>
      <c r="AL24" s="14"/>
      <c r="AM24" s="13"/>
      <c r="AN24" s="13">
        <v>19060.0</v>
      </c>
      <c r="AO24" s="14"/>
    </row>
    <row r="25">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c r="A26" s="13" t="s">
        <v>22</v>
      </c>
      <c r="B26" s="14"/>
      <c r="C26" s="14">
        <f>sum(C18:C19)</f>
        <v>3250000</v>
      </c>
      <c r="D26" s="14"/>
      <c r="E26" s="14"/>
      <c r="F26" s="14">
        <f t="shared" ref="F26:N26" si="7">sum(F18:F19)</f>
        <v>23340000</v>
      </c>
      <c r="G26" s="14">
        <f t="shared" si="7"/>
        <v>23830000</v>
      </c>
      <c r="H26" s="14">
        <f t="shared" si="7"/>
        <v>27530000</v>
      </c>
      <c r="I26" s="14">
        <f t="shared" si="7"/>
        <v>116000000</v>
      </c>
      <c r="J26" s="14">
        <f t="shared" si="7"/>
        <v>117000000</v>
      </c>
      <c r="K26" s="14">
        <f t="shared" si="7"/>
        <v>116000000</v>
      </c>
      <c r="L26" s="14">
        <f t="shared" si="7"/>
        <v>57000000</v>
      </c>
      <c r="M26" s="14">
        <f t="shared" si="7"/>
        <v>61000000</v>
      </c>
      <c r="N26" s="14">
        <f t="shared" si="7"/>
        <v>58000000</v>
      </c>
      <c r="O26" s="14"/>
      <c r="P26" s="14">
        <f t="shared" ref="P26:Q26" si="8">sum(P18:P19)</f>
        <v>5372755</v>
      </c>
      <c r="Q26" s="14">
        <f t="shared" si="8"/>
        <v>4540000</v>
      </c>
      <c r="R26" s="14"/>
      <c r="S26" s="14">
        <f t="shared" ref="S26:T26" si="9">sum(S18:S19)</f>
        <v>18700000</v>
      </c>
      <c r="T26" s="14">
        <f t="shared" si="9"/>
        <v>16200000</v>
      </c>
      <c r="U26" s="14"/>
      <c r="V26" s="14">
        <f t="shared" ref="V26:W26" si="10">sum(V18:V19)</f>
        <v>3420000</v>
      </c>
      <c r="W26" s="14">
        <f t="shared" si="10"/>
        <v>4250000</v>
      </c>
      <c r="X26" s="14"/>
      <c r="Y26" s="13">
        <v>3800000.0</v>
      </c>
      <c r="Z26" s="13">
        <v>4300000.0</v>
      </c>
      <c r="AA26" s="14"/>
      <c r="AB26" s="14">
        <f t="shared" ref="AB26:AC26" si="11">sum(AB18:AB19)</f>
        <v>1780889</v>
      </c>
      <c r="AC26" s="14">
        <f t="shared" si="11"/>
        <v>1473576</v>
      </c>
      <c r="AD26" s="14"/>
      <c r="AE26" s="14">
        <f t="shared" ref="AE26:AF26" si="12">sum(AE18:AE19)</f>
        <v>1651499</v>
      </c>
      <c r="AF26" s="14">
        <f t="shared" si="12"/>
        <v>1931111</v>
      </c>
      <c r="AG26" s="14"/>
      <c r="AH26" s="14">
        <f t="shared" ref="AH26:AL26" si="13">sum(AH18:AH19)</f>
        <v>6340000</v>
      </c>
      <c r="AI26" s="14">
        <f t="shared" si="13"/>
        <v>6770000</v>
      </c>
      <c r="AJ26" s="14">
        <f t="shared" si="13"/>
        <v>683821</v>
      </c>
      <c r="AK26" s="14">
        <f t="shared" si="13"/>
        <v>836408</v>
      </c>
      <c r="AL26" s="14">
        <f t="shared" si="13"/>
        <v>648468</v>
      </c>
      <c r="AM26" s="14"/>
      <c r="AN26" s="14">
        <f>sum(AN18:AN19)</f>
        <v>1553910</v>
      </c>
      <c r="AO26" s="14"/>
    </row>
    <row r="27">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row>
    <row r="28">
      <c r="A28" s="13" t="s">
        <v>129</v>
      </c>
      <c r="B28" s="14"/>
      <c r="C28" s="14">
        <f>sum(C21:C23)</f>
        <v>149000000</v>
      </c>
      <c r="D28" s="14"/>
      <c r="E28" s="14"/>
      <c r="F28" s="14">
        <f t="shared" ref="F28:H28" si="14">F20</f>
        <v>212000000</v>
      </c>
      <c r="G28" s="14">
        <f t="shared" si="14"/>
        <v>226000000</v>
      </c>
      <c r="H28" s="14">
        <f t="shared" si="14"/>
        <v>259000000</v>
      </c>
      <c r="I28" s="14">
        <f>I23*1.35</f>
        <v>729000000</v>
      </c>
      <c r="J28" s="14"/>
      <c r="K28" s="14"/>
      <c r="L28" s="14"/>
      <c r="M28" s="14"/>
      <c r="N28" s="14"/>
      <c r="O28" s="14"/>
      <c r="P28" s="14"/>
      <c r="Q28" s="14"/>
      <c r="R28" s="14"/>
      <c r="S28" s="14">
        <f>sum(S21:S23)</f>
        <v>220000000</v>
      </c>
      <c r="T28" s="14"/>
      <c r="U28" s="14"/>
      <c r="V28" s="14"/>
      <c r="W28" s="14"/>
      <c r="X28" s="14"/>
      <c r="Y28" s="13">
        <v>4.34E7</v>
      </c>
      <c r="Z28" s="13">
        <v>4.58E7</v>
      </c>
      <c r="AA28" s="14"/>
      <c r="AB28" s="14"/>
      <c r="AC28" s="14"/>
      <c r="AD28" s="14"/>
      <c r="AE28" s="14"/>
      <c r="AF28" s="14"/>
      <c r="AG28" s="14"/>
      <c r="AH28" s="14"/>
      <c r="AI28" s="14"/>
      <c r="AJ28" s="14">
        <f t="shared" ref="AJ28:AL28" si="15">AJ23</f>
        <v>101018251</v>
      </c>
      <c r="AK28" s="14">
        <f t="shared" si="15"/>
        <v>100939396</v>
      </c>
      <c r="AL28" s="14">
        <f t="shared" si="15"/>
        <v>87465365</v>
      </c>
      <c r="AM28" s="14"/>
      <c r="AN28" s="14"/>
      <c r="AO28" s="14"/>
    </row>
    <row r="29">
      <c r="B29" s="14"/>
      <c r="C29" s="14"/>
    </row>
    <row r="30">
      <c r="A30" s="7" t="s">
        <v>130</v>
      </c>
      <c r="B30" s="15"/>
      <c r="C30" s="15">
        <f>C26/C5</f>
        <v>221.9490542</v>
      </c>
      <c r="D30" s="15"/>
      <c r="E30" s="15"/>
      <c r="F30" s="15">
        <f t="shared" ref="F30:N30" si="16">F26/F5</f>
        <v>899.2140546</v>
      </c>
      <c r="G30" s="15">
        <f t="shared" si="16"/>
        <v>1338.087484</v>
      </c>
      <c r="H30" s="15">
        <f t="shared" si="16"/>
        <v>1316.531969</v>
      </c>
      <c r="I30" s="15">
        <f t="shared" si="16"/>
        <v>280.4099787</v>
      </c>
      <c r="J30" s="15">
        <f t="shared" si="16"/>
        <v>409.6064977</v>
      </c>
      <c r="K30" s="15">
        <f t="shared" si="16"/>
        <v>639.1114148</v>
      </c>
      <c r="L30" s="15">
        <f t="shared" si="16"/>
        <v>241.8153973</v>
      </c>
      <c r="M30" s="15">
        <f t="shared" si="16"/>
        <v>392.015732</v>
      </c>
      <c r="N30" s="15">
        <f t="shared" si="16"/>
        <v>613.9450202</v>
      </c>
      <c r="P30" s="15">
        <f t="shared" ref="P30:Q30" si="17">P26/P5</f>
        <v>288.2070057</v>
      </c>
      <c r="Q30" s="15">
        <f t="shared" si="17"/>
        <v>411.5300943</v>
      </c>
      <c r="S30" s="15">
        <f t="shared" ref="S30:T30" si="18">S26/S5</f>
        <v>386.7711845</v>
      </c>
      <c r="T30" s="15">
        <f t="shared" si="18"/>
        <v>841.2962194</v>
      </c>
      <c r="V30" s="15">
        <f t="shared" ref="V30:W30" si="19">V26/V5</f>
        <v>280.1900705</v>
      </c>
      <c r="W30" s="15">
        <f t="shared" si="19"/>
        <v>880.2816901</v>
      </c>
      <c r="Y30" s="15">
        <f t="shared" ref="Y30:Z30" si="20">Y26/Y5</f>
        <v>501.1209284</v>
      </c>
      <c r="Z30" s="15">
        <f t="shared" si="20"/>
        <v>895.0874271</v>
      </c>
      <c r="AB30" s="15">
        <f>AB26/AB5</f>
        <v>262.0110343</v>
      </c>
      <c r="AC30" s="15"/>
      <c r="AE30" s="15">
        <f>AE26/AE5</f>
        <v>478.8341548</v>
      </c>
      <c r="AH30" s="15">
        <f t="shared" ref="AH30:AK30" si="21">AH26/AH5</f>
        <v>799.6972755</v>
      </c>
      <c r="AI30" s="15">
        <f t="shared" si="21"/>
        <v>1571.494893</v>
      </c>
      <c r="AJ30" s="15">
        <f t="shared" si="21"/>
        <v>91.2042364</v>
      </c>
      <c r="AK30" s="15">
        <f t="shared" si="21"/>
        <v>272.9200568</v>
      </c>
    </row>
    <row r="31">
      <c r="A31" s="7" t="s">
        <v>131</v>
      </c>
      <c r="B31" s="14"/>
      <c r="C31" s="14">
        <f>C28/C5</f>
        <v>10175.51048</v>
      </c>
      <c r="D31" s="14"/>
      <c r="E31" s="14"/>
      <c r="F31" s="14">
        <f t="shared" ref="F31:I31" si="22">F28/F5</f>
        <v>8167.668362</v>
      </c>
      <c r="G31" s="14">
        <f t="shared" si="22"/>
        <v>12690.21281</v>
      </c>
      <c r="H31" s="14">
        <f t="shared" si="22"/>
        <v>12385.82564</v>
      </c>
      <c r="I31" s="14">
        <f t="shared" si="22"/>
        <v>1762.231677</v>
      </c>
      <c r="J31" s="14"/>
      <c r="Y31" s="14">
        <f t="shared" ref="Y31:Z31" si="23">Y28/Y5</f>
        <v>5723.328498</v>
      </c>
      <c r="Z31" s="14">
        <f t="shared" si="23"/>
        <v>9533.721898</v>
      </c>
      <c r="AJ31" s="14">
        <f t="shared" ref="AJ31:AK31" si="24">AJ28/AJ5</f>
        <v>13473.25169</v>
      </c>
      <c r="AK31" s="14">
        <f t="shared" si="24"/>
        <v>32936.54017</v>
      </c>
    </row>
    <row r="32">
      <c r="B32" s="14"/>
      <c r="C32" s="14"/>
    </row>
    <row r="33">
      <c r="A33" s="7" t="s">
        <v>132</v>
      </c>
      <c r="B33" s="25"/>
      <c r="C33" s="25">
        <f>C24/C4/1000000</f>
        <v>0.001875061023</v>
      </c>
      <c r="D33" s="25"/>
      <c r="E33" s="25"/>
      <c r="F33" s="25">
        <f t="shared" ref="F33:N33" si="25">F24/F4/1000000</f>
        <v>0.004495305164</v>
      </c>
      <c r="G33" s="25">
        <f t="shared" si="25"/>
        <v>0.005898760331</v>
      </c>
      <c r="H33" s="25">
        <f t="shared" si="25"/>
        <v>0.00735483871</v>
      </c>
      <c r="I33" s="25">
        <f t="shared" si="25"/>
        <v>0.00293254057</v>
      </c>
      <c r="J33" s="25">
        <f t="shared" si="25"/>
        <v>0.003690363722</v>
      </c>
      <c r="K33" s="25">
        <f t="shared" si="25"/>
        <v>0.003642284003</v>
      </c>
      <c r="L33" s="25">
        <f t="shared" si="25"/>
        <v>0.0008208114971</v>
      </c>
      <c r="M33" s="25">
        <f t="shared" si="25"/>
        <v>0.0009240222689</v>
      </c>
      <c r="N33" s="25">
        <f t="shared" si="25"/>
        <v>0.0009019674164</v>
      </c>
      <c r="P33" s="25">
        <f t="shared" ref="P33:Q33" si="26">P24/P4/1000000</f>
        <v>0.0007682282249</v>
      </c>
      <c r="Q33" s="25">
        <f t="shared" si="26"/>
        <v>0.001087219135</v>
      </c>
      <c r="S33" s="25">
        <f t="shared" ref="S33:T33" si="27">S24/S4/1000000</f>
        <v>0.003598326778</v>
      </c>
      <c r="T33" s="25">
        <f t="shared" si="27"/>
        <v>0.004712662581</v>
      </c>
      <c r="V33" s="25">
        <f t="shared" ref="V33:W33" si="28">V24/V4/1000000</f>
        <v>0.002161729384</v>
      </c>
      <c r="W33" s="25">
        <f t="shared" si="28"/>
        <v>0.004233378562</v>
      </c>
      <c r="Y33" s="25">
        <f t="shared" ref="Y33:Z33" si="29">Y24/Y4/1000000</f>
        <v>0.001834878349</v>
      </c>
      <c r="Z33" s="25">
        <f t="shared" si="29"/>
        <v>0.002240291452</v>
      </c>
      <c r="AB33" s="25">
        <f>AB24/AB4/1000000</f>
        <v>0.0008721384307</v>
      </c>
      <c r="AC33" s="25"/>
      <c r="AE33" s="25">
        <f>AE24/AE4/1000000</f>
        <v>0.00142379539</v>
      </c>
      <c r="AH33" s="25">
        <f t="shared" ref="AH33:AI33" si="30">AH24/AH4/1000000</f>
        <v>0.007982105015</v>
      </c>
      <c r="AI33" s="25">
        <f t="shared" si="30"/>
        <v>0.008701056557</v>
      </c>
      <c r="AN33" s="25">
        <f>AN24/AN4/1000000</f>
        <v>0.0001029342934</v>
      </c>
    </row>
    <row r="34">
      <c r="B34" s="14"/>
      <c r="C34" s="14"/>
    </row>
    <row r="35">
      <c r="A35" s="13" t="s">
        <v>133</v>
      </c>
      <c r="B35" s="17"/>
      <c r="C35" s="17">
        <f>(C18+C19)/C4/1000</f>
        <v>14.42354633</v>
      </c>
      <c r="D35" s="17"/>
      <c r="E35" s="17"/>
      <c r="F35" s="17">
        <f t="shared" ref="F35:N35" si="31">(F18+F19)/F4/1000</f>
        <v>54.78873239</v>
      </c>
      <c r="G35" s="17">
        <f t="shared" si="31"/>
        <v>49.23553719</v>
      </c>
      <c r="H35" s="17">
        <f t="shared" si="31"/>
        <v>74.00537634</v>
      </c>
      <c r="I35" s="17">
        <f t="shared" si="31"/>
        <v>85.04367653</v>
      </c>
      <c r="J35" s="17">
        <f t="shared" si="31"/>
        <v>86.3545111</v>
      </c>
      <c r="K35" s="17">
        <f t="shared" si="31"/>
        <v>84.50098888</v>
      </c>
      <c r="L35" s="17">
        <f t="shared" si="31"/>
        <v>20.34185014</v>
      </c>
      <c r="M35" s="17">
        <f t="shared" si="31"/>
        <v>21.678984</v>
      </c>
      <c r="N35" s="17">
        <f t="shared" si="31"/>
        <v>21.7975459</v>
      </c>
      <c r="O35" s="14"/>
      <c r="P35" s="17">
        <f t="shared" ref="P35:Q35" si="32">(P18+P19)/P4/1000</f>
        <v>17.77096472</v>
      </c>
      <c r="Q35" s="17">
        <f t="shared" si="32"/>
        <v>16.45324958</v>
      </c>
      <c r="R35" s="14"/>
      <c r="S35" s="17">
        <f t="shared" ref="S35:T35" si="33">(S18+S19)/S4/1000</f>
        <v>37.38261708</v>
      </c>
      <c r="T35" s="17">
        <f t="shared" si="33"/>
        <v>47.71570863</v>
      </c>
      <c r="V35" s="17">
        <f t="shared" ref="V35:W35" si="34">(V18+V19)/V4/1000</f>
        <v>16.42914331</v>
      </c>
      <c r="W35" s="17">
        <f t="shared" si="34"/>
        <v>34.59972863</v>
      </c>
      <c r="Y35" s="17">
        <f t="shared" ref="Y35:Z35" si="35">Y26/Y4/1000</f>
        <v>33.06087115</v>
      </c>
      <c r="Z35" s="17">
        <f t="shared" si="35"/>
        <v>35.44243283</v>
      </c>
      <c r="AA35" s="17"/>
      <c r="AB35" s="17">
        <f t="shared" ref="AB35:AB36" si="39">AB26/AB4/1000</f>
        <v>12.99896839</v>
      </c>
      <c r="AC35" s="14"/>
      <c r="AD35" s="14"/>
      <c r="AE35" s="17">
        <f>AE26/AE4/1000</f>
        <v>9.884046666</v>
      </c>
      <c r="AF35" s="14"/>
      <c r="AG35" s="14"/>
      <c r="AH35" s="17">
        <f t="shared" ref="AH35:AL35" si="36">AH26/AH4/1000</f>
        <v>44.7845538</v>
      </c>
      <c r="AI35" s="17">
        <f t="shared" si="36"/>
        <v>42.07582349</v>
      </c>
      <c r="AJ35" s="17">
        <f t="shared" si="36"/>
        <v>2.114910309</v>
      </c>
      <c r="AK35" s="17">
        <f t="shared" si="36"/>
        <v>2.701260673</v>
      </c>
      <c r="AL35" s="17">
        <f t="shared" si="36"/>
        <v>2.597695808</v>
      </c>
      <c r="AM35" s="17"/>
      <c r="AN35" s="17">
        <f>AN26/AN4/1000</f>
        <v>8.391953195</v>
      </c>
      <c r="AO35" s="17"/>
    </row>
    <row r="36">
      <c r="A36" s="7" t="s">
        <v>134</v>
      </c>
      <c r="B36" s="14"/>
      <c r="C36" s="14">
        <f>C28/C4/1000</f>
        <v>661.264124</v>
      </c>
      <c r="D36" s="14"/>
      <c r="E36" s="14"/>
      <c r="F36" s="14">
        <f t="shared" ref="F36:I36" si="37">F28/F4/1000</f>
        <v>497.6525822</v>
      </c>
      <c r="G36" s="14">
        <f t="shared" si="37"/>
        <v>466.9421488</v>
      </c>
      <c r="H36" s="14">
        <f t="shared" si="37"/>
        <v>696.2365591</v>
      </c>
      <c r="I36" s="14">
        <f t="shared" si="37"/>
        <v>534.4555189</v>
      </c>
      <c r="L36" s="17"/>
      <c r="M36" s="17"/>
      <c r="S36" s="14">
        <f>S28/S4/1000</f>
        <v>439.7954951</v>
      </c>
      <c r="Y36" s="14">
        <f t="shared" ref="Y36:Z36" si="38">Y28/Y4/1000</f>
        <v>377.5899495</v>
      </c>
      <c r="Z36" s="14">
        <f t="shared" si="38"/>
        <v>377.5031218</v>
      </c>
      <c r="AB36" s="17">
        <f t="shared" si="39"/>
        <v>0</v>
      </c>
    </row>
    <row r="37">
      <c r="B37" s="14"/>
      <c r="C37" s="14"/>
    </row>
    <row r="38">
      <c r="A38" s="7" t="s">
        <v>135</v>
      </c>
      <c r="B38" s="14"/>
      <c r="C38" s="14"/>
    </row>
    <row r="39">
      <c r="A39" s="13" t="s">
        <v>136</v>
      </c>
      <c r="B39" s="13">
        <v>972.018</v>
      </c>
      <c r="C39" s="13">
        <v>967.628</v>
      </c>
      <c r="D39" s="13"/>
      <c r="E39" s="13">
        <v>1913.0</v>
      </c>
      <c r="F39" s="13">
        <v>1771.0</v>
      </c>
      <c r="G39" s="13">
        <v>1475.0</v>
      </c>
      <c r="H39" s="14"/>
      <c r="I39" s="13">
        <v>7167.0</v>
      </c>
      <c r="J39" s="14"/>
      <c r="K39" s="14"/>
      <c r="L39" s="13">
        <v>4997.0</v>
      </c>
      <c r="M39" s="7">
        <v>5075.0</v>
      </c>
      <c r="N39" s="7">
        <v>5319.0</v>
      </c>
      <c r="O39" s="13">
        <v>1661.0</v>
      </c>
      <c r="P39" s="14"/>
      <c r="Q39" s="14"/>
      <c r="R39" s="13">
        <v>3068.0</v>
      </c>
      <c r="S39" s="13">
        <v>3027.0</v>
      </c>
      <c r="T39" s="13">
        <v>2119.0</v>
      </c>
      <c r="U39" s="7">
        <v>793.0</v>
      </c>
      <c r="V39" s="7">
        <v>709.0</v>
      </c>
      <c r="W39" s="7">
        <v>282.0</v>
      </c>
      <c r="X39" s="7">
        <v>766.0</v>
      </c>
      <c r="Y39" s="7">
        <v>808.0</v>
      </c>
      <c r="AA39" s="13">
        <v>1069.508</v>
      </c>
      <c r="AB39" s="13">
        <v>928.289</v>
      </c>
      <c r="AC39" s="13">
        <v>759.401</v>
      </c>
      <c r="AD39" s="13">
        <v>239.756</v>
      </c>
      <c r="AE39" s="13">
        <v>189.429</v>
      </c>
      <c r="AF39" s="14"/>
      <c r="AG39" s="13">
        <v>403.0</v>
      </c>
      <c r="AH39" s="13">
        <v>399.615</v>
      </c>
      <c r="AI39" s="13">
        <v>433.5</v>
      </c>
      <c r="AJ39" s="13">
        <v>0.0</v>
      </c>
      <c r="AK39" s="14"/>
      <c r="AL39" s="14"/>
      <c r="AM39" s="13">
        <v>83.0</v>
      </c>
      <c r="AN39" s="13">
        <v>80.0</v>
      </c>
      <c r="AO39" s="14"/>
    </row>
    <row r="40">
      <c r="A40" s="13" t="s">
        <v>137</v>
      </c>
      <c r="B40" s="13">
        <v>738.445</v>
      </c>
      <c r="C40" s="13">
        <v>669.98</v>
      </c>
      <c r="D40" s="13"/>
      <c r="E40" s="13">
        <v>846.0</v>
      </c>
      <c r="F40" s="13">
        <v>766.0</v>
      </c>
      <c r="G40" s="13">
        <v>599.0</v>
      </c>
      <c r="H40" s="14"/>
      <c r="I40" s="14">
        <f>1531+2420+353</f>
        <v>4304</v>
      </c>
      <c r="J40" s="14"/>
      <c r="K40" s="14"/>
      <c r="L40" s="13">
        <v>1088.0</v>
      </c>
      <c r="M40" s="13">
        <v>1038.0</v>
      </c>
      <c r="N40" s="13">
        <v>828.0</v>
      </c>
      <c r="O40" s="13">
        <v>1145.0</v>
      </c>
      <c r="P40" s="14"/>
      <c r="Q40" s="14"/>
      <c r="R40" s="14">
        <f>895+216</f>
        <v>1111</v>
      </c>
      <c r="S40" s="14">
        <f>677+257</f>
        <v>934</v>
      </c>
      <c r="T40" s="14">
        <f>376+332</f>
        <v>708</v>
      </c>
      <c r="U40" s="7">
        <v>493.0</v>
      </c>
      <c r="V40" s="7">
        <v>437.0</v>
      </c>
      <c r="W40" s="7">
        <v>218.0</v>
      </c>
      <c r="X40" s="7">
        <v>245.0</v>
      </c>
      <c r="Y40" s="7">
        <v>233.0</v>
      </c>
      <c r="AA40" s="13">
        <v>485.319</v>
      </c>
      <c r="AB40" s="13">
        <v>429.734</v>
      </c>
      <c r="AC40" s="13">
        <v>289.196</v>
      </c>
      <c r="AD40" s="13">
        <v>296.765</v>
      </c>
      <c r="AE40" s="13">
        <v>220.615</v>
      </c>
      <c r="AF40" s="14"/>
      <c r="AG40" s="13">
        <v>180.0</v>
      </c>
      <c r="AH40" s="13">
        <v>183.362</v>
      </c>
      <c r="AI40" s="13">
        <v>168.955</v>
      </c>
      <c r="AJ40" s="13">
        <v>196.0</v>
      </c>
      <c r="AK40" s="14"/>
      <c r="AL40" s="14"/>
      <c r="AM40" s="13">
        <v>627.0</v>
      </c>
      <c r="AN40" s="13">
        <v>577.0</v>
      </c>
      <c r="AO40" s="14"/>
    </row>
    <row r="41">
      <c r="A41" s="13" t="s">
        <v>138</v>
      </c>
      <c r="B41" s="13">
        <v>3996.991</v>
      </c>
      <c r="C41" s="13">
        <v>3506.708</v>
      </c>
      <c r="D41" s="13"/>
      <c r="E41" s="13">
        <v>6350.0</v>
      </c>
      <c r="F41" s="13">
        <v>5850.0</v>
      </c>
      <c r="G41" s="13">
        <v>5019.0</v>
      </c>
      <c r="H41" s="14"/>
      <c r="I41" s="13">
        <v>37626.0</v>
      </c>
      <c r="J41" s="14"/>
      <c r="K41" s="14"/>
      <c r="L41" s="13">
        <v>30864.0</v>
      </c>
      <c r="M41" s="13">
        <v>30908.0</v>
      </c>
      <c r="N41" s="13">
        <v>29922.0</v>
      </c>
      <c r="O41" s="13">
        <v>8591.0</v>
      </c>
      <c r="P41" s="14"/>
      <c r="Q41" s="14"/>
      <c r="R41" s="14">
        <f>2420*6</f>
        <v>14520</v>
      </c>
      <c r="S41" s="14">
        <f>2140*6</f>
        <v>12840</v>
      </c>
      <c r="T41" s="14">
        <f>1632*6</f>
        <v>9792</v>
      </c>
      <c r="U41" s="13">
        <v>3175.0</v>
      </c>
      <c r="V41" s="13">
        <v>2878.0</v>
      </c>
      <c r="W41" s="13">
        <v>1512.0</v>
      </c>
      <c r="X41" s="13">
        <v>1470.0</v>
      </c>
      <c r="Y41" s="13">
        <v>1606.0</v>
      </c>
      <c r="Z41" s="14"/>
      <c r="AA41" s="13">
        <v>2868.861</v>
      </c>
      <c r="AB41" s="13">
        <v>2585.807</v>
      </c>
      <c r="AC41" s="13">
        <v>1607.064</v>
      </c>
      <c r="AD41" s="13">
        <v>11173.0</v>
      </c>
      <c r="AE41" s="13">
        <v>14895.0</v>
      </c>
      <c r="AF41" s="14"/>
      <c r="AG41" s="13">
        <v>1846.0</v>
      </c>
      <c r="AH41" s="13">
        <v>1979.906</v>
      </c>
      <c r="AI41" s="13">
        <v>1627.367</v>
      </c>
      <c r="AJ41" s="13">
        <v>23825.0</v>
      </c>
      <c r="AK41" s="14"/>
      <c r="AL41" s="14"/>
      <c r="AM41" s="13">
        <v>17362.0</v>
      </c>
      <c r="AN41" s="13">
        <v>17207.0</v>
      </c>
      <c r="AO41" s="14"/>
    </row>
    <row r="42">
      <c r="A42" s="14"/>
      <c r="B42" s="14"/>
      <c r="C42" s="14"/>
      <c r="D42" s="14"/>
      <c r="E42" s="14"/>
      <c r="F42" s="14"/>
      <c r="G42" s="14"/>
      <c r="H42" s="14"/>
      <c r="I42" s="14"/>
      <c r="J42" s="14"/>
      <c r="K42" s="14"/>
      <c r="L42" s="14"/>
      <c r="M42" s="14"/>
      <c r="N42" s="14"/>
      <c r="O42" s="14"/>
      <c r="P42" s="14"/>
      <c r="Q42" s="14"/>
      <c r="R42" s="14"/>
      <c r="S42" s="14"/>
      <c r="T42" s="14"/>
      <c r="AA42" s="14"/>
      <c r="AB42" s="14"/>
      <c r="AC42" s="14"/>
      <c r="AD42" s="14"/>
      <c r="AE42" s="14"/>
      <c r="AF42" s="14"/>
      <c r="AG42" s="14"/>
      <c r="AH42" s="14"/>
      <c r="AI42" s="14"/>
      <c r="AJ42" s="14"/>
      <c r="AK42" s="14"/>
      <c r="AL42" s="14"/>
      <c r="AM42" s="14"/>
      <c r="AN42" s="14"/>
      <c r="AO42" s="14"/>
    </row>
    <row r="43">
      <c r="A43" s="13" t="s">
        <v>139</v>
      </c>
      <c r="B43" s="14"/>
      <c r="C43" s="14"/>
      <c r="D43" s="14"/>
      <c r="E43" s="14"/>
      <c r="F43" s="14"/>
      <c r="G43" s="14"/>
      <c r="H43" s="14"/>
      <c r="I43" s="14"/>
      <c r="J43" s="14"/>
      <c r="K43" s="14"/>
      <c r="L43" s="14"/>
      <c r="M43" s="14"/>
      <c r="N43" s="14"/>
      <c r="O43" s="14"/>
      <c r="P43" s="14"/>
      <c r="Q43" s="14"/>
      <c r="R43" s="14"/>
      <c r="S43" s="14"/>
      <c r="T43" s="14"/>
      <c r="AA43" s="14"/>
      <c r="AB43" s="14"/>
      <c r="AC43" s="14"/>
      <c r="AD43" s="14"/>
      <c r="AE43" s="14"/>
      <c r="AF43" s="14"/>
      <c r="AG43" s="14"/>
      <c r="AH43" s="14"/>
      <c r="AI43" s="14"/>
      <c r="AJ43" s="14"/>
      <c r="AK43" s="14"/>
      <c r="AL43" s="14"/>
      <c r="AM43" s="14"/>
      <c r="AN43" s="14"/>
      <c r="AO43" s="14"/>
    </row>
    <row r="44">
      <c r="A44" s="13" t="s">
        <v>140</v>
      </c>
      <c r="B44" s="14"/>
      <c r="C44" s="14"/>
      <c r="D44" s="13"/>
      <c r="E44" s="13"/>
      <c r="F44" s="13"/>
      <c r="G44" s="13"/>
      <c r="H44" s="14"/>
      <c r="I44" s="14"/>
      <c r="J44" s="14"/>
      <c r="K44" s="14"/>
      <c r="L44" s="13">
        <v>1440.0</v>
      </c>
      <c r="M44" s="13">
        <v>1553.0</v>
      </c>
      <c r="N44" s="13">
        <v>1635.0</v>
      </c>
      <c r="O44" s="14"/>
      <c r="P44" s="14"/>
      <c r="Q44" s="14"/>
      <c r="R44" s="13">
        <v>898.0</v>
      </c>
      <c r="S44" s="13">
        <v>829.0</v>
      </c>
      <c r="T44" s="13">
        <v>568.0</v>
      </c>
      <c r="AA44" s="14"/>
      <c r="AB44" s="14"/>
      <c r="AC44" s="14"/>
      <c r="AD44" s="14"/>
      <c r="AE44" s="14"/>
      <c r="AF44" s="14"/>
      <c r="AG44" s="14"/>
      <c r="AH44" s="14"/>
      <c r="AI44" s="14"/>
      <c r="AJ44" s="14"/>
      <c r="AK44" s="14"/>
      <c r="AL44" s="14"/>
      <c r="AM44" s="14"/>
      <c r="AN44" s="14"/>
      <c r="AO44" s="14"/>
    </row>
    <row r="45">
      <c r="A45" s="13" t="s">
        <v>141</v>
      </c>
      <c r="B45" s="14"/>
      <c r="C45" s="14"/>
      <c r="D45" s="13"/>
      <c r="E45" s="13"/>
      <c r="F45" s="13"/>
      <c r="G45" s="13"/>
      <c r="H45" s="14"/>
      <c r="I45" s="14"/>
      <c r="J45" s="14"/>
      <c r="K45" s="14"/>
      <c r="L45" s="13">
        <v>279.0</v>
      </c>
      <c r="M45" s="13">
        <v>261.0</v>
      </c>
      <c r="N45" s="13">
        <v>233.0</v>
      </c>
      <c r="O45" s="14"/>
      <c r="P45" s="14"/>
      <c r="Q45" s="14"/>
      <c r="R45" s="14">
        <f>252+66</f>
        <v>318</v>
      </c>
      <c r="S45" s="14">
        <f>142+69</f>
        <v>211</v>
      </c>
      <c r="T45" s="14">
        <f>105+55</f>
        <v>160</v>
      </c>
      <c r="AA45" s="14"/>
      <c r="AB45" s="14"/>
      <c r="AC45" s="14"/>
      <c r="AD45" s="14"/>
      <c r="AE45" s="14"/>
      <c r="AF45" s="14"/>
      <c r="AG45" s="14"/>
      <c r="AH45" s="14"/>
      <c r="AI45" s="14"/>
      <c r="AJ45" s="14"/>
      <c r="AK45" s="14"/>
      <c r="AL45" s="14"/>
      <c r="AM45" s="14"/>
      <c r="AN45" s="14"/>
      <c r="AO45" s="14"/>
    </row>
    <row r="46">
      <c r="A46" s="13" t="s">
        <v>142</v>
      </c>
      <c r="B46" s="14"/>
      <c r="C46" s="14"/>
      <c r="D46" s="13"/>
      <c r="E46" s="13"/>
      <c r="F46" s="13"/>
      <c r="G46" s="13"/>
      <c r="H46" s="14"/>
      <c r="I46" s="14"/>
      <c r="J46" s="14"/>
      <c r="K46" s="14"/>
      <c r="L46" s="13">
        <v>7677.0</v>
      </c>
      <c r="M46" s="13">
        <v>7709.0</v>
      </c>
      <c r="N46" s="13">
        <v>7290.0</v>
      </c>
      <c r="O46" s="14"/>
      <c r="P46" s="14"/>
      <c r="Q46" s="14"/>
      <c r="R46" s="13">
        <v>3130.0</v>
      </c>
      <c r="S46" s="13">
        <v>3162.0</v>
      </c>
      <c r="T46" s="13">
        <v>2394.0</v>
      </c>
      <c r="AA46" s="14"/>
      <c r="AB46" s="14"/>
      <c r="AC46" s="14"/>
      <c r="AD46" s="14"/>
      <c r="AE46" s="14"/>
      <c r="AF46" s="14"/>
      <c r="AG46" s="14"/>
      <c r="AH46" s="14"/>
      <c r="AI46" s="14"/>
      <c r="AJ46" s="14"/>
      <c r="AK46" s="14"/>
      <c r="AL46" s="14"/>
      <c r="AM46" s="14"/>
      <c r="AN46" s="14"/>
      <c r="AO46" s="14"/>
    </row>
    <row r="47">
      <c r="A47" s="13" t="s">
        <v>136</v>
      </c>
      <c r="B47" s="14">
        <f>0.351964*365</f>
        <v>128.46686</v>
      </c>
      <c r="C47" s="14"/>
      <c r="D47" s="13"/>
      <c r="E47" s="13">
        <v>226.0</v>
      </c>
      <c r="F47" s="13">
        <v>226.0</v>
      </c>
      <c r="G47" s="13">
        <v>264.0</v>
      </c>
      <c r="H47" s="14"/>
      <c r="I47" s="14">
        <f>1.647*365</f>
        <v>601.155</v>
      </c>
      <c r="J47" s="14"/>
      <c r="K47" s="14"/>
      <c r="L47" s="14">
        <f t="shared" ref="L47:N47" si="40">L44*365/1000</f>
        <v>525.6</v>
      </c>
      <c r="M47" s="14">
        <f t="shared" si="40"/>
        <v>566.845</v>
      </c>
      <c r="N47" s="14">
        <f t="shared" si="40"/>
        <v>596.775</v>
      </c>
      <c r="O47" s="13">
        <v>168.3</v>
      </c>
      <c r="P47" s="13">
        <v>162.3</v>
      </c>
      <c r="Q47" s="13">
        <v>149.8</v>
      </c>
      <c r="R47" s="14">
        <f t="shared" ref="R47:T47" si="41">R44*365/1000</f>
        <v>327.77</v>
      </c>
      <c r="S47" s="14">
        <f t="shared" si="41"/>
        <v>302.585</v>
      </c>
      <c r="T47" s="14">
        <f t="shared" si="41"/>
        <v>207.32</v>
      </c>
      <c r="U47" s="7">
        <v>109.0</v>
      </c>
      <c r="V47" s="7">
        <v>106.0</v>
      </c>
      <c r="W47" s="7">
        <v>57.0</v>
      </c>
      <c r="X47" s="7">
        <v>70.676</v>
      </c>
      <c r="Y47" s="7">
        <v>59.602</v>
      </c>
      <c r="Z47" s="7">
        <v>65.11</v>
      </c>
      <c r="AA47" s="13">
        <v>81.616</v>
      </c>
      <c r="AB47" s="13">
        <v>81.522</v>
      </c>
      <c r="AD47" s="13">
        <v>31.926</v>
      </c>
      <c r="AE47" s="13">
        <v>8.15</v>
      </c>
      <c r="AF47" s="14"/>
      <c r="AG47" s="13">
        <v>68.7</v>
      </c>
      <c r="AH47" s="13">
        <v>66.3</v>
      </c>
      <c r="AI47" s="13">
        <v>78.3</v>
      </c>
      <c r="AJ47" s="14"/>
      <c r="AK47" s="14"/>
      <c r="AL47" s="14"/>
      <c r="AM47" s="13">
        <v>5.0</v>
      </c>
      <c r="AN47" s="13">
        <v>7.0</v>
      </c>
      <c r="AO47" s="14"/>
    </row>
    <row r="48">
      <c r="A48" s="13" t="s">
        <v>137</v>
      </c>
      <c r="B48" s="13">
        <f>0.160294*365</f>
        <v>58.50731</v>
      </c>
      <c r="C48" s="14"/>
      <c r="D48" s="13"/>
      <c r="E48" s="13">
        <v>95.0</v>
      </c>
      <c r="F48" s="13">
        <v>91.0</v>
      </c>
      <c r="G48" s="13">
        <v>94.0</v>
      </c>
      <c r="H48" s="14"/>
      <c r="I48" s="14">
        <f>(0.317+0.327+0.063)*365</f>
        <v>258.055</v>
      </c>
      <c r="J48" s="14"/>
      <c r="K48" s="14"/>
      <c r="L48" s="14">
        <f t="shared" ref="L48:N48" si="42">L45*365/1000</f>
        <v>101.835</v>
      </c>
      <c r="M48" s="14">
        <f t="shared" si="42"/>
        <v>95.265</v>
      </c>
      <c r="N48" s="14">
        <f t="shared" si="42"/>
        <v>85.045</v>
      </c>
      <c r="O48" s="13">
        <v>72.1</v>
      </c>
      <c r="P48" s="13">
        <v>52.7</v>
      </c>
      <c r="Q48" s="13">
        <v>49.8</v>
      </c>
      <c r="R48" s="14">
        <f t="shared" ref="R48:T48" si="43">R45*365/1000</f>
        <v>116.07</v>
      </c>
      <c r="S48" s="14">
        <f t="shared" si="43"/>
        <v>77.015</v>
      </c>
      <c r="T48" s="14">
        <f t="shared" si="43"/>
        <v>58.4</v>
      </c>
      <c r="U48" s="7">
        <v>54.0</v>
      </c>
      <c r="V48" s="7">
        <v>48.0</v>
      </c>
      <c r="W48" s="7">
        <v>29.0</v>
      </c>
      <c r="X48" s="7">
        <v>20.169</v>
      </c>
      <c r="Y48" s="7">
        <v>19.406</v>
      </c>
      <c r="Z48" s="7">
        <v>22.392</v>
      </c>
      <c r="AA48" s="13">
        <v>29.88</v>
      </c>
      <c r="AB48" s="13">
        <v>27.246</v>
      </c>
      <c r="AC48" s="14"/>
      <c r="AD48" s="13">
        <v>28.697</v>
      </c>
      <c r="AE48" s="13">
        <v>7.104</v>
      </c>
      <c r="AF48" s="14"/>
      <c r="AG48" s="13">
        <v>23.3</v>
      </c>
      <c r="AH48" s="13">
        <v>24.8</v>
      </c>
      <c r="AI48" s="13">
        <v>28.1</v>
      </c>
      <c r="AJ48" s="14"/>
      <c r="AK48" s="14"/>
      <c r="AL48" s="14"/>
      <c r="AM48" s="13">
        <v>30.0</v>
      </c>
      <c r="AN48" s="13">
        <v>31.0</v>
      </c>
      <c r="AO48" s="14"/>
    </row>
    <row r="49">
      <c r="A49" s="13" t="s">
        <v>138</v>
      </c>
      <c r="B49" s="14">
        <f>0.825805*365</f>
        <v>301.418825</v>
      </c>
      <c r="C49" s="14"/>
      <c r="D49" s="13"/>
      <c r="E49" s="13">
        <v>609.0</v>
      </c>
      <c r="F49" s="13">
        <v>649.0</v>
      </c>
      <c r="G49" s="13">
        <v>756.0</v>
      </c>
      <c r="H49" s="14"/>
      <c r="I49" s="14">
        <f>8.295*365</f>
        <v>3027.675</v>
      </c>
      <c r="J49" s="14"/>
      <c r="K49" s="14"/>
      <c r="L49" s="14">
        <f t="shared" ref="L49:N49" si="44">L46*365/1000</f>
        <v>2802.105</v>
      </c>
      <c r="M49" s="14">
        <f t="shared" si="44"/>
        <v>2813.785</v>
      </c>
      <c r="N49" s="14">
        <f t="shared" si="44"/>
        <v>2660.85</v>
      </c>
      <c r="O49" s="13">
        <v>546.0</v>
      </c>
      <c r="P49" s="13">
        <v>524.0</v>
      </c>
      <c r="Q49" s="13">
        <v>458.0</v>
      </c>
      <c r="R49" s="14">
        <f t="shared" ref="R49:T49" si="45">R46*365/1000</f>
        <v>1142.45</v>
      </c>
      <c r="S49" s="14">
        <f t="shared" si="45"/>
        <v>1154.13</v>
      </c>
      <c r="T49" s="14">
        <f t="shared" si="45"/>
        <v>873.81</v>
      </c>
      <c r="U49" s="7">
        <v>356.0</v>
      </c>
      <c r="V49" s="7">
        <v>325.0</v>
      </c>
      <c r="W49" s="7">
        <v>221.0</v>
      </c>
      <c r="X49" s="7">
        <v>208.001</v>
      </c>
      <c r="Y49" s="7">
        <v>215.589</v>
      </c>
      <c r="Z49" s="7">
        <v>202.929</v>
      </c>
      <c r="AA49" s="13">
        <v>176.376</v>
      </c>
      <c r="AB49" s="13">
        <v>169.406</v>
      </c>
      <c r="AC49" s="14"/>
      <c r="AD49" s="13">
        <v>1024.0</v>
      </c>
      <c r="AE49" s="13">
        <v>911.0</v>
      </c>
      <c r="AF49" s="14"/>
      <c r="AG49" s="13">
        <v>315.7</v>
      </c>
      <c r="AH49" s="13">
        <v>302.8</v>
      </c>
      <c r="AI49" s="13">
        <v>327.0</v>
      </c>
      <c r="AJ49" s="13">
        <v>1940.0</v>
      </c>
      <c r="AK49" s="13">
        <v>1857.817</v>
      </c>
      <c r="AL49" s="13">
        <v>1497.792</v>
      </c>
      <c r="AM49" s="13">
        <v>841.0</v>
      </c>
      <c r="AN49" s="13">
        <v>883.0</v>
      </c>
      <c r="AO49" s="13"/>
    </row>
    <row r="50">
      <c r="A50" s="7" t="s">
        <v>143</v>
      </c>
      <c r="B50" s="14"/>
      <c r="C50" s="14"/>
    </row>
    <row r="51">
      <c r="A51" s="13" t="s">
        <v>140</v>
      </c>
      <c r="B51" s="14"/>
      <c r="C51" s="14"/>
      <c r="R51" s="7">
        <v>885.0</v>
      </c>
      <c r="S51" s="7">
        <v>816.0</v>
      </c>
      <c r="T51" s="7">
        <v>555.0</v>
      </c>
    </row>
    <row r="52">
      <c r="A52" s="13" t="s">
        <v>141</v>
      </c>
      <c r="B52" s="14"/>
      <c r="C52" s="14"/>
      <c r="R52" s="7">
        <f>244+66</f>
        <v>310</v>
      </c>
      <c r="S52" s="7">
        <f>134+69</f>
        <v>203</v>
      </c>
      <c r="T52" s="7">
        <f>97+55</f>
        <v>152</v>
      </c>
    </row>
    <row r="53">
      <c r="A53" s="13" t="s">
        <v>142</v>
      </c>
      <c r="B53" s="14"/>
      <c r="C53" s="14"/>
      <c r="R53" s="7">
        <v>1939.0</v>
      </c>
      <c r="S53" s="7">
        <v>2109.0</v>
      </c>
      <c r="T53" s="7">
        <v>1339.0</v>
      </c>
    </row>
    <row r="54">
      <c r="A54" s="13" t="s">
        <v>136</v>
      </c>
      <c r="B54" s="14"/>
      <c r="C54" s="14"/>
      <c r="R54" s="14">
        <f t="shared" ref="R54:T54" si="46">R51*365/1000</f>
        <v>323.025</v>
      </c>
      <c r="S54" s="14">
        <f t="shared" si="46"/>
        <v>297.84</v>
      </c>
      <c r="T54" s="14">
        <f t="shared" si="46"/>
        <v>202.575</v>
      </c>
    </row>
    <row r="55">
      <c r="A55" s="13" t="s">
        <v>137</v>
      </c>
      <c r="B55" s="14"/>
      <c r="C55" s="14"/>
      <c r="R55" s="14">
        <f t="shared" ref="R55:T55" si="47">R52*365/1000</f>
        <v>113.15</v>
      </c>
      <c r="S55" s="14">
        <f t="shared" si="47"/>
        <v>74.095</v>
      </c>
      <c r="T55" s="14">
        <f t="shared" si="47"/>
        <v>55.48</v>
      </c>
    </row>
    <row r="56">
      <c r="A56" s="13" t="s">
        <v>138</v>
      </c>
      <c r="B56" s="14"/>
      <c r="C56" s="14"/>
      <c r="R56" s="14">
        <f t="shared" ref="R56:T56" si="48">R53*365/1000</f>
        <v>707.735</v>
      </c>
      <c r="S56" s="14">
        <f t="shared" si="48"/>
        <v>769.785</v>
      </c>
      <c r="T56" s="14">
        <f t="shared" si="48"/>
        <v>488.735</v>
      </c>
    </row>
    <row r="57">
      <c r="B57" s="14"/>
      <c r="C57" s="14"/>
    </row>
    <row r="58">
      <c r="A58" s="7" t="s">
        <v>144</v>
      </c>
      <c r="B58" s="14"/>
      <c r="C58" s="14"/>
    </row>
    <row r="59">
      <c r="A59" s="7" t="s">
        <v>145</v>
      </c>
      <c r="B59" s="26">
        <f t="shared" ref="B59:B61" si="56">B39/B47</f>
        <v>7.566293751</v>
      </c>
      <c r="C59" s="14"/>
      <c r="D59" s="26"/>
      <c r="E59" s="26">
        <f t="shared" ref="E59:G59" si="49">E39/E47</f>
        <v>8.46460177</v>
      </c>
      <c r="F59" s="26">
        <f t="shared" si="49"/>
        <v>7.836283186</v>
      </c>
      <c r="G59" s="26">
        <f t="shared" si="49"/>
        <v>5.587121212</v>
      </c>
      <c r="I59" s="26">
        <f t="shared" ref="I59:I61" si="58">I39/I47</f>
        <v>11.92205005</v>
      </c>
      <c r="L59" s="26">
        <f t="shared" ref="L59:O59" si="50">L39/L47</f>
        <v>9.507229833</v>
      </c>
      <c r="M59" s="26">
        <f t="shared" si="50"/>
        <v>8.953064771</v>
      </c>
      <c r="N59" s="26">
        <f t="shared" si="50"/>
        <v>8.912906874</v>
      </c>
      <c r="O59" s="26">
        <f t="shared" si="50"/>
        <v>9.869281046</v>
      </c>
      <c r="R59" s="26">
        <f t="shared" ref="R59:Y59" si="51">R39/R47</f>
        <v>9.360222107</v>
      </c>
      <c r="S59" s="26">
        <f t="shared" si="51"/>
        <v>10.00380058</v>
      </c>
      <c r="T59" s="26">
        <f t="shared" si="51"/>
        <v>10.22091453</v>
      </c>
      <c r="U59" s="26">
        <f t="shared" si="51"/>
        <v>7.275229358</v>
      </c>
      <c r="V59" s="26">
        <f t="shared" si="51"/>
        <v>6.688679245</v>
      </c>
      <c r="W59" s="26">
        <f t="shared" si="51"/>
        <v>4.947368421</v>
      </c>
      <c r="X59" s="26">
        <f t="shared" si="51"/>
        <v>10.83819118</v>
      </c>
      <c r="Y59" s="26">
        <f t="shared" si="51"/>
        <v>13.55659206</v>
      </c>
      <c r="Z59" s="26"/>
      <c r="AA59" s="26">
        <f t="shared" ref="AA59:AB59" si="52">AA39/AA47</f>
        <v>13.10414625</v>
      </c>
      <c r="AB59" s="26">
        <f t="shared" si="52"/>
        <v>11.3869753</v>
      </c>
      <c r="AC59" s="26"/>
      <c r="AD59" s="26">
        <f t="shared" ref="AD59:AE59" si="53">AD39/AD47</f>
        <v>7.509741277</v>
      </c>
      <c r="AE59" s="26">
        <f t="shared" si="53"/>
        <v>23.24282209</v>
      </c>
      <c r="AG59" s="26">
        <f t="shared" ref="AG59:AI59" si="54">AG39/AG47</f>
        <v>5.866084425</v>
      </c>
      <c r="AH59" s="26">
        <f t="shared" si="54"/>
        <v>6.027375566</v>
      </c>
      <c r="AI59" s="26">
        <f t="shared" si="54"/>
        <v>5.536398467</v>
      </c>
      <c r="AM59" s="26">
        <f t="shared" ref="AM59:AN59" si="55">AM39/AM47</f>
        <v>16.6</v>
      </c>
      <c r="AN59" s="26">
        <f t="shared" si="55"/>
        <v>11.42857143</v>
      </c>
    </row>
    <row r="60">
      <c r="A60" s="7" t="s">
        <v>146</v>
      </c>
      <c r="B60" s="26">
        <f t="shared" si="56"/>
        <v>12.62141432</v>
      </c>
      <c r="C60" s="14"/>
      <c r="D60" s="26"/>
      <c r="E60" s="26">
        <f t="shared" ref="E60:G60" si="57">E40/E48</f>
        <v>8.905263158</v>
      </c>
      <c r="F60" s="26">
        <f t="shared" si="57"/>
        <v>8.417582418</v>
      </c>
      <c r="G60" s="26">
        <f t="shared" si="57"/>
        <v>6.372340426</v>
      </c>
      <c r="I60" s="26">
        <f t="shared" si="58"/>
        <v>16.67861502</v>
      </c>
      <c r="L60" s="26">
        <f t="shared" ref="L60:O60" si="59">L40/L48</f>
        <v>10.68394953</v>
      </c>
      <c r="M60" s="26">
        <f t="shared" si="59"/>
        <v>10.8959219</v>
      </c>
      <c r="N60" s="26">
        <f t="shared" si="59"/>
        <v>9.736022106</v>
      </c>
      <c r="O60" s="26">
        <f t="shared" si="59"/>
        <v>15.88072122</v>
      </c>
      <c r="R60" s="26">
        <f t="shared" ref="R60:Y60" si="60">R40/R48</f>
        <v>9.571810115</v>
      </c>
      <c r="S60" s="26">
        <f t="shared" si="60"/>
        <v>12.12750763</v>
      </c>
      <c r="T60" s="26">
        <f t="shared" si="60"/>
        <v>12.12328767</v>
      </c>
      <c r="U60" s="26">
        <f t="shared" si="60"/>
        <v>9.12962963</v>
      </c>
      <c r="V60" s="26">
        <f t="shared" si="60"/>
        <v>9.104166667</v>
      </c>
      <c r="W60" s="26">
        <f t="shared" si="60"/>
        <v>7.517241379</v>
      </c>
      <c r="X60" s="26">
        <f t="shared" si="60"/>
        <v>12.14735485</v>
      </c>
      <c r="Y60" s="26">
        <f t="shared" si="60"/>
        <v>12.0065959</v>
      </c>
      <c r="AA60" s="26">
        <f t="shared" ref="AA60:AB60" si="61">AA40/AA48</f>
        <v>16.24226908</v>
      </c>
      <c r="AB60" s="26">
        <f t="shared" si="61"/>
        <v>15.77237026</v>
      </c>
      <c r="AC60" s="26"/>
      <c r="AD60" s="26">
        <f t="shared" ref="AD60:AE60" si="62">AD40/AD48</f>
        <v>10.34132488</v>
      </c>
      <c r="AE60" s="26">
        <f t="shared" si="62"/>
        <v>31.05503941</v>
      </c>
      <c r="AG60" s="26">
        <f t="shared" ref="AG60:AI60" si="63">AG40/AG48</f>
        <v>7.725321888</v>
      </c>
      <c r="AH60" s="26">
        <f t="shared" si="63"/>
        <v>7.393629032</v>
      </c>
      <c r="AI60" s="26">
        <f t="shared" si="63"/>
        <v>6.012633452</v>
      </c>
      <c r="AM60" s="26">
        <f t="shared" ref="AM60:AN60" si="64">AM40/AM48</f>
        <v>20.9</v>
      </c>
      <c r="AN60" s="26">
        <f t="shared" si="64"/>
        <v>18.61290323</v>
      </c>
    </row>
    <row r="61">
      <c r="A61" s="7" t="s">
        <v>147</v>
      </c>
      <c r="B61" s="26">
        <f t="shared" si="56"/>
        <v>13.26058849</v>
      </c>
      <c r="C61" s="14"/>
      <c r="D61" s="26"/>
      <c r="E61" s="26">
        <f t="shared" ref="E61:G61" si="65">E41/E49</f>
        <v>10.42692939</v>
      </c>
      <c r="F61" s="26">
        <f t="shared" si="65"/>
        <v>9.013867488</v>
      </c>
      <c r="G61" s="26">
        <f t="shared" si="65"/>
        <v>6.638888889</v>
      </c>
      <c r="I61" s="26">
        <f t="shared" si="58"/>
        <v>12.42735763</v>
      </c>
      <c r="L61" s="26">
        <f t="shared" ref="L61:O61" si="66">L41/L49</f>
        <v>11.01457654</v>
      </c>
      <c r="M61" s="26">
        <f t="shared" si="66"/>
        <v>10.98449242</v>
      </c>
      <c r="N61" s="26">
        <f t="shared" si="66"/>
        <v>11.24527876</v>
      </c>
      <c r="O61" s="26">
        <f t="shared" si="66"/>
        <v>15.73443223</v>
      </c>
      <c r="R61" s="26">
        <f t="shared" ref="R61:Y61" si="67">R41/R49</f>
        <v>12.70952777</v>
      </c>
      <c r="S61" s="26">
        <f t="shared" si="67"/>
        <v>11.12526319</v>
      </c>
      <c r="T61" s="26">
        <f t="shared" si="67"/>
        <v>11.20609744</v>
      </c>
      <c r="U61" s="26">
        <f t="shared" si="67"/>
        <v>8.918539326</v>
      </c>
      <c r="V61" s="26">
        <f t="shared" si="67"/>
        <v>8.855384615</v>
      </c>
      <c r="W61" s="26">
        <f t="shared" si="67"/>
        <v>6.841628959</v>
      </c>
      <c r="X61" s="26">
        <f t="shared" si="67"/>
        <v>7.067273715</v>
      </c>
      <c r="Y61" s="26">
        <f t="shared" si="67"/>
        <v>7.449359661</v>
      </c>
      <c r="AA61" s="26">
        <f t="shared" ref="AA61:AB61" si="68">AA41/AA49</f>
        <v>16.26559736</v>
      </c>
      <c r="AB61" s="26">
        <f t="shared" si="68"/>
        <v>15.2639635</v>
      </c>
      <c r="AC61" s="26"/>
      <c r="AD61" s="26">
        <f t="shared" ref="AD61:AE61" si="69">AD41/AD49</f>
        <v>10.91113281</v>
      </c>
      <c r="AE61" s="26">
        <f t="shared" si="69"/>
        <v>16.35016465</v>
      </c>
      <c r="AG61" s="26">
        <f t="shared" ref="AG61:AJ61" si="70">AG41/AG49</f>
        <v>5.847323408</v>
      </c>
      <c r="AH61" s="26">
        <f t="shared" si="70"/>
        <v>6.538659181</v>
      </c>
      <c r="AI61" s="26">
        <f t="shared" si="70"/>
        <v>4.976657492</v>
      </c>
      <c r="AJ61" s="26">
        <f t="shared" si="70"/>
        <v>12.28092784</v>
      </c>
      <c r="AM61" s="26">
        <f t="shared" ref="AM61:AN61" si="71">AM41/AM49</f>
        <v>20.64447087</v>
      </c>
      <c r="AN61" s="26">
        <f t="shared" si="71"/>
        <v>19.48697622</v>
      </c>
    </row>
    <row r="62">
      <c r="B62" s="14"/>
      <c r="C62" s="14"/>
    </row>
    <row r="63">
      <c r="B63" s="14"/>
      <c r="C63" s="14"/>
    </row>
    <row r="64">
      <c r="A64" s="7" t="s">
        <v>26</v>
      </c>
      <c r="B64" s="14"/>
      <c r="C64" s="13" t="s">
        <v>148</v>
      </c>
      <c r="D64" s="7"/>
      <c r="E64" s="7"/>
      <c r="F64" s="7" t="s">
        <v>149</v>
      </c>
      <c r="I64" s="21"/>
      <c r="J64" s="7" t="s">
        <v>150</v>
      </c>
      <c r="L64" s="7" t="s">
        <v>151</v>
      </c>
      <c r="O64" s="7" t="s">
        <v>152</v>
      </c>
      <c r="P64" s="7" t="s">
        <v>153</v>
      </c>
      <c r="S64" s="7" t="s">
        <v>154</v>
      </c>
      <c r="V64" s="7" t="s">
        <v>155</v>
      </c>
      <c r="Y64" s="7" t="s">
        <v>156</v>
      </c>
      <c r="AB64" s="7" t="s">
        <v>157</v>
      </c>
      <c r="AE64" s="7" t="s">
        <v>158</v>
      </c>
      <c r="AH64" s="7" t="s">
        <v>159</v>
      </c>
      <c r="AJ64" s="7" t="s">
        <v>160</v>
      </c>
      <c r="AN64" s="7" t="s">
        <v>161</v>
      </c>
    </row>
    <row r="65">
      <c r="A65" s="7" t="s">
        <v>28</v>
      </c>
      <c r="B65" s="7"/>
      <c r="C65" s="7" t="s">
        <v>29</v>
      </c>
      <c r="D65" s="7"/>
      <c r="E65" s="7"/>
      <c r="F65" s="7" t="s">
        <v>29</v>
      </c>
      <c r="I65" s="7"/>
      <c r="J65" s="7" t="s">
        <v>162</v>
      </c>
      <c r="L65" s="7" t="s">
        <v>162</v>
      </c>
      <c r="P65" s="7" t="s">
        <v>29</v>
      </c>
      <c r="S65" s="7" t="s">
        <v>163</v>
      </c>
      <c r="V65" s="7" t="s">
        <v>164</v>
      </c>
      <c r="Y65" s="7" t="s">
        <v>165</v>
      </c>
      <c r="AB65" s="7" t="s">
        <v>29</v>
      </c>
      <c r="AE65" s="7" t="s">
        <v>29</v>
      </c>
      <c r="AH65" s="7" t="s">
        <v>29</v>
      </c>
      <c r="AJ65" s="7" t="s">
        <v>29</v>
      </c>
    </row>
    <row r="66">
      <c r="A66" s="7" t="s">
        <v>31</v>
      </c>
      <c r="B66" s="7"/>
      <c r="C66" s="7"/>
      <c r="D66" s="7"/>
      <c r="E66" s="7"/>
      <c r="F66" s="7" t="s">
        <v>78</v>
      </c>
      <c r="I66" s="7"/>
      <c r="J66" s="7" t="s">
        <v>166</v>
      </c>
      <c r="L66" s="7" t="s">
        <v>78</v>
      </c>
      <c r="P66" s="7" t="s">
        <v>78</v>
      </c>
      <c r="S66" s="7" t="s">
        <v>78</v>
      </c>
      <c r="Y66" s="7" t="s">
        <v>78</v>
      </c>
      <c r="AB66" s="7" t="s">
        <v>78</v>
      </c>
      <c r="AE66" s="7" t="s">
        <v>167</v>
      </c>
      <c r="AJ66" s="7" t="s">
        <v>168</v>
      </c>
    </row>
    <row r="67">
      <c r="A67" s="7" t="s">
        <v>34</v>
      </c>
      <c r="B67" s="7"/>
      <c r="C67" s="7" t="s">
        <v>169</v>
      </c>
      <c r="D67" s="7"/>
      <c r="E67" s="7"/>
      <c r="F67" s="7" t="s">
        <v>170</v>
      </c>
      <c r="I67" s="7"/>
      <c r="J67" s="7" t="s">
        <v>171</v>
      </c>
      <c r="L67" s="7" t="s">
        <v>172</v>
      </c>
      <c r="P67" s="7" t="s">
        <v>173</v>
      </c>
      <c r="S67" s="7" t="s">
        <v>174</v>
      </c>
      <c r="V67" s="7" t="s">
        <v>175</v>
      </c>
      <c r="Y67" s="7" t="s">
        <v>176</v>
      </c>
      <c r="AB67" s="7" t="s">
        <v>177</v>
      </c>
      <c r="AE67" s="7" t="s">
        <v>178</v>
      </c>
      <c r="AH67" s="7" t="s">
        <v>179</v>
      </c>
      <c r="AJ67" s="7" t="s">
        <v>82</v>
      </c>
      <c r="AN67" s="7" t="s">
        <v>82</v>
      </c>
    </row>
    <row r="68">
      <c r="A68" s="7" t="s">
        <v>38</v>
      </c>
      <c r="B68" s="7"/>
      <c r="C68" s="7" t="s">
        <v>180</v>
      </c>
      <c r="D68" s="7"/>
      <c r="E68" s="7"/>
      <c r="F68" s="7" t="s">
        <v>181</v>
      </c>
      <c r="I68" s="7"/>
      <c r="J68" s="7" t="s">
        <v>182</v>
      </c>
      <c r="L68" s="21" t="s">
        <v>183</v>
      </c>
      <c r="S68" s="7" t="s">
        <v>184</v>
      </c>
      <c r="V68" s="7" t="s">
        <v>185</v>
      </c>
      <c r="Y68" s="7" t="s">
        <v>186</v>
      </c>
      <c r="AB68" s="7" t="s">
        <v>187</v>
      </c>
      <c r="AH68" s="7" t="s">
        <v>188</v>
      </c>
      <c r="AJ68" s="7" t="s">
        <v>189</v>
      </c>
      <c r="AN68" s="7" t="s">
        <v>190</v>
      </c>
    </row>
    <row r="69">
      <c r="A69" s="7"/>
      <c r="B69" s="13"/>
      <c r="C69" s="13"/>
      <c r="D69" s="7"/>
      <c r="E69" s="7"/>
      <c r="F69" s="7"/>
      <c r="I69" s="7"/>
      <c r="L69" s="7"/>
      <c r="O69" s="7"/>
      <c r="R69" s="7"/>
      <c r="U69" s="7"/>
      <c r="X69" s="7"/>
      <c r="AA69" s="7"/>
    </row>
    <row r="70">
      <c r="A70" s="7"/>
      <c r="B70" s="13"/>
      <c r="C70" s="13"/>
      <c r="D70" s="7"/>
      <c r="E70" s="7"/>
      <c r="F70" s="7"/>
      <c r="I70" s="7"/>
      <c r="L70" s="7"/>
      <c r="O70" s="7"/>
      <c r="R70" s="7"/>
      <c r="U70" s="7"/>
      <c r="X70" s="7"/>
      <c r="AA70" s="7"/>
    </row>
    <row r="71">
      <c r="A71" s="7"/>
      <c r="B71" s="13"/>
      <c r="C71" s="13"/>
      <c r="D71" s="7"/>
      <c r="E71" s="7"/>
      <c r="F71" s="7"/>
      <c r="I71" s="7"/>
      <c r="L71" s="7"/>
      <c r="O71" s="7"/>
      <c r="R71" s="7"/>
      <c r="U71" s="7"/>
      <c r="X71" s="7"/>
      <c r="AA71" s="7"/>
    </row>
    <row r="72">
      <c r="A72" s="7" t="s">
        <v>41</v>
      </c>
      <c r="B72" s="13"/>
      <c r="C72" s="13" t="s">
        <v>191</v>
      </c>
      <c r="D72" s="7"/>
      <c r="E72" s="7"/>
      <c r="F72" s="7" t="s">
        <v>192</v>
      </c>
      <c r="I72" s="7" t="s">
        <v>193</v>
      </c>
      <c r="L72" s="7" t="s">
        <v>194</v>
      </c>
      <c r="O72" s="7" t="s">
        <v>195</v>
      </c>
      <c r="R72" s="7" t="s">
        <v>196</v>
      </c>
      <c r="U72" s="7" t="s">
        <v>197</v>
      </c>
      <c r="X72" s="7" t="s">
        <v>198</v>
      </c>
      <c r="AA72" s="7" t="s">
        <v>199</v>
      </c>
      <c r="AG72" s="7" t="s">
        <v>200</v>
      </c>
      <c r="AJ72" s="7" t="s">
        <v>201</v>
      </c>
      <c r="AM72" s="7" t="s">
        <v>202</v>
      </c>
    </row>
    <row r="73">
      <c r="B73" s="13"/>
      <c r="C73" s="13" t="s">
        <v>203</v>
      </c>
      <c r="D73" s="7"/>
      <c r="E73" s="7"/>
      <c r="F73" s="7" t="s">
        <v>204</v>
      </c>
      <c r="I73" s="7" t="s">
        <v>205</v>
      </c>
      <c r="L73" s="7" t="s">
        <v>206</v>
      </c>
      <c r="O73" s="7" t="s">
        <v>207</v>
      </c>
      <c r="R73" s="7" t="s">
        <v>208</v>
      </c>
      <c r="U73" s="7" t="s">
        <v>209</v>
      </c>
      <c r="X73" s="7" t="s">
        <v>210</v>
      </c>
      <c r="AA73" s="7" t="s">
        <v>211</v>
      </c>
      <c r="AG73" s="7" t="s">
        <v>212</v>
      </c>
      <c r="AJ73" s="7" t="s">
        <v>213</v>
      </c>
      <c r="AM73" s="7" t="s">
        <v>214</v>
      </c>
    </row>
    <row r="74">
      <c r="B74" s="13"/>
      <c r="C74" s="13" t="s">
        <v>215</v>
      </c>
      <c r="D74" s="7"/>
      <c r="E74" s="7"/>
      <c r="F74" s="7" t="s">
        <v>216</v>
      </c>
      <c r="I74" s="7" t="s">
        <v>217</v>
      </c>
      <c r="L74" s="7" t="s">
        <v>218</v>
      </c>
      <c r="O74" s="7" t="s">
        <v>219</v>
      </c>
      <c r="R74" s="7" t="s">
        <v>220</v>
      </c>
      <c r="U74" s="7" t="s">
        <v>221</v>
      </c>
      <c r="X74" s="7" t="s">
        <v>222</v>
      </c>
      <c r="AA74" s="7" t="s">
        <v>223</v>
      </c>
      <c r="AJ74" s="7" t="s">
        <v>224</v>
      </c>
    </row>
    <row r="75">
      <c r="B75" s="13"/>
      <c r="C75" s="13" t="s">
        <v>225</v>
      </c>
      <c r="D75" s="7"/>
      <c r="E75" s="7"/>
      <c r="F75" s="7" t="s">
        <v>226</v>
      </c>
      <c r="I75" s="7" t="s">
        <v>227</v>
      </c>
      <c r="L75" s="7" t="s">
        <v>228</v>
      </c>
      <c r="O75" s="7" t="s">
        <v>229</v>
      </c>
      <c r="R75" s="7" t="s">
        <v>216</v>
      </c>
      <c r="U75" s="7" t="s">
        <v>230</v>
      </c>
      <c r="X75" s="7" t="s">
        <v>231</v>
      </c>
      <c r="AA75" s="7" t="s">
        <v>232</v>
      </c>
      <c r="AJ75" s="7" t="s">
        <v>233</v>
      </c>
    </row>
    <row r="76">
      <c r="B76" s="13"/>
      <c r="C76" s="13" t="s">
        <v>234</v>
      </c>
      <c r="D76" s="7"/>
      <c r="E76" s="7"/>
      <c r="F76" s="7" t="s">
        <v>235</v>
      </c>
      <c r="I76" s="7" t="s">
        <v>236</v>
      </c>
      <c r="L76" s="7" t="s">
        <v>237</v>
      </c>
      <c r="O76" s="7" t="s">
        <v>238</v>
      </c>
      <c r="R76" s="7" t="s">
        <v>239</v>
      </c>
      <c r="U76" s="7" t="s">
        <v>240</v>
      </c>
      <c r="X76" s="7" t="s">
        <v>241</v>
      </c>
      <c r="AJ76" s="7" t="s">
        <v>242</v>
      </c>
    </row>
    <row r="77">
      <c r="B77" s="13"/>
      <c r="C77" s="13" t="s">
        <v>243</v>
      </c>
      <c r="D77" s="7"/>
      <c r="E77" s="7"/>
      <c r="F77" s="7" t="s">
        <v>244</v>
      </c>
      <c r="I77" s="7" t="s">
        <v>245</v>
      </c>
      <c r="L77" s="7" t="s">
        <v>240</v>
      </c>
      <c r="O77" s="7" t="s">
        <v>246</v>
      </c>
      <c r="U77" s="7" t="s">
        <v>247</v>
      </c>
    </row>
    <row r="78">
      <c r="B78" s="14"/>
      <c r="C78" s="14"/>
      <c r="D78" s="7"/>
      <c r="E78" s="7"/>
      <c r="F78" s="7" t="s">
        <v>248</v>
      </c>
      <c r="I78" s="7" t="s">
        <v>249</v>
      </c>
      <c r="L78" s="7" t="s">
        <v>250</v>
      </c>
      <c r="U78" s="7" t="s">
        <v>251</v>
      </c>
    </row>
    <row r="79">
      <c r="B79" s="14"/>
      <c r="C79" s="14"/>
      <c r="D79" s="7"/>
      <c r="E79" s="7"/>
      <c r="F79" s="7" t="s">
        <v>247</v>
      </c>
      <c r="I79" s="7" t="s">
        <v>252</v>
      </c>
      <c r="L79" s="7" t="s">
        <v>253</v>
      </c>
    </row>
    <row r="80">
      <c r="B80" s="14"/>
      <c r="C80" s="14"/>
      <c r="I80" s="7" t="s">
        <v>254</v>
      </c>
      <c r="L80" s="7" t="s">
        <v>255</v>
      </c>
    </row>
    <row r="81">
      <c r="B81" s="14"/>
      <c r="C81" s="14"/>
      <c r="I81" s="7" t="s">
        <v>256</v>
      </c>
      <c r="L81" s="7" t="s">
        <v>256</v>
      </c>
    </row>
    <row r="82">
      <c r="B82" s="14"/>
      <c r="C82" s="14"/>
      <c r="L82" s="7" t="s">
        <v>257</v>
      </c>
    </row>
    <row r="83">
      <c r="B83" s="14"/>
      <c r="C83" s="14"/>
      <c r="L83" s="7" t="s">
        <v>258</v>
      </c>
    </row>
    <row r="84">
      <c r="B84" s="14"/>
      <c r="C84" s="14"/>
      <c r="L84" s="7" t="s">
        <v>259</v>
      </c>
    </row>
    <row r="85">
      <c r="B85" s="14"/>
      <c r="C85" s="14"/>
      <c r="L85" s="7" t="s">
        <v>260</v>
      </c>
    </row>
    <row r="86">
      <c r="B86" s="14"/>
      <c r="C86" s="14"/>
    </row>
    <row r="87">
      <c r="B87" s="14"/>
      <c r="C87" s="14"/>
    </row>
    <row r="88">
      <c r="B88" s="14"/>
      <c r="C88" s="14"/>
    </row>
    <row r="89">
      <c r="B89" s="14"/>
      <c r="C89" s="14"/>
    </row>
    <row r="90">
      <c r="B90" s="14"/>
      <c r="C90" s="14"/>
    </row>
    <row r="91">
      <c r="B91" s="14"/>
      <c r="C91" s="14"/>
    </row>
    <row r="92">
      <c r="A92" s="7" t="s">
        <v>48</v>
      </c>
      <c r="B92" s="13"/>
      <c r="C92" s="13" t="s">
        <v>261</v>
      </c>
      <c r="D92" s="7"/>
      <c r="E92" s="7"/>
      <c r="F92" s="7" t="s">
        <v>262</v>
      </c>
      <c r="I92" s="7" t="s">
        <v>263</v>
      </c>
      <c r="L92" s="7" t="s">
        <v>264</v>
      </c>
      <c r="O92" s="7" t="s">
        <v>265</v>
      </c>
      <c r="R92" s="7" t="s">
        <v>266</v>
      </c>
      <c r="U92" s="7" t="s">
        <v>267</v>
      </c>
      <c r="X92" s="7" t="s">
        <v>268</v>
      </c>
      <c r="AA92" s="7" t="s">
        <v>269</v>
      </c>
      <c r="AD92" s="7" t="s">
        <v>270</v>
      </c>
      <c r="AG92" s="7" t="s">
        <v>271</v>
      </c>
      <c r="AJ92" s="7" t="s">
        <v>272</v>
      </c>
    </row>
    <row r="93">
      <c r="B93" s="14"/>
      <c r="C93" s="14"/>
    </row>
    <row r="94">
      <c r="B94" s="14"/>
      <c r="C94" s="14"/>
      <c r="L94" s="7" t="s">
        <v>273</v>
      </c>
      <c r="O94" s="7" t="s">
        <v>274</v>
      </c>
      <c r="R94" s="7" t="s">
        <v>275</v>
      </c>
      <c r="U94" s="7" t="s">
        <v>276</v>
      </c>
      <c r="X94" s="7" t="s">
        <v>277</v>
      </c>
      <c r="AA94" s="7" t="s">
        <v>278</v>
      </c>
      <c r="AD94" s="7" t="s">
        <v>279</v>
      </c>
      <c r="AG94" s="7" t="s">
        <v>280</v>
      </c>
      <c r="AJ94" s="7" t="s">
        <v>281</v>
      </c>
      <c r="AM94" s="7" t="s">
        <v>282</v>
      </c>
    </row>
    <row r="95">
      <c r="B95" s="14"/>
      <c r="C95" s="14"/>
      <c r="O95" s="7" t="s">
        <v>283</v>
      </c>
      <c r="R95" s="7" t="s">
        <v>284</v>
      </c>
      <c r="U95" s="7" t="s">
        <v>285</v>
      </c>
      <c r="X95" s="7" t="s">
        <v>286</v>
      </c>
      <c r="AA95" s="7" t="s">
        <v>287</v>
      </c>
      <c r="AD95" s="7" t="s">
        <v>288</v>
      </c>
      <c r="AG95" s="7" t="s">
        <v>289</v>
      </c>
      <c r="AM95" s="7" t="s">
        <v>290</v>
      </c>
    </row>
    <row r="96">
      <c r="B96" s="14"/>
      <c r="C96" s="14"/>
      <c r="O96" s="7" t="s">
        <v>291</v>
      </c>
      <c r="U96" s="7" t="s">
        <v>292</v>
      </c>
      <c r="X96" s="7" t="s">
        <v>293</v>
      </c>
      <c r="AD96" s="7" t="s">
        <v>294</v>
      </c>
      <c r="AG96" s="7" t="s">
        <v>295</v>
      </c>
      <c r="AM96" s="7" t="s">
        <v>296</v>
      </c>
    </row>
    <row r="97">
      <c r="B97" s="14"/>
      <c r="C97" s="14"/>
      <c r="U97" s="7" t="s">
        <v>297</v>
      </c>
      <c r="X97" s="7" t="s">
        <v>298</v>
      </c>
      <c r="AA97" s="7" t="s">
        <v>299</v>
      </c>
      <c r="AD97" s="7" t="s">
        <v>300</v>
      </c>
      <c r="AJ97" s="7" t="s">
        <v>301</v>
      </c>
    </row>
    <row r="98">
      <c r="B98" s="14"/>
      <c r="C98" s="14"/>
      <c r="AA98" s="7" t="s">
        <v>302</v>
      </c>
      <c r="AD98" s="7" t="s">
        <v>303</v>
      </c>
      <c r="AJ98" s="7" t="s">
        <v>304</v>
      </c>
    </row>
    <row r="99">
      <c r="B99" s="14"/>
      <c r="C99" s="14"/>
      <c r="AA99" s="7" t="s">
        <v>305</v>
      </c>
      <c r="AD99" s="7" t="s">
        <v>306</v>
      </c>
      <c r="AJ99" s="7" t="s">
        <v>307</v>
      </c>
    </row>
    <row r="100">
      <c r="B100" s="14"/>
      <c r="C100" s="14"/>
      <c r="AD100" s="7" t="s">
        <v>308</v>
      </c>
    </row>
    <row r="101">
      <c r="B101" s="14"/>
      <c r="C101" s="14"/>
    </row>
    <row r="102">
      <c r="B102" s="14"/>
      <c r="C102" s="14"/>
    </row>
    <row r="103">
      <c r="B103" s="14"/>
      <c r="C103" s="14"/>
    </row>
    <row r="104">
      <c r="B104" s="14"/>
      <c r="C104" s="14"/>
    </row>
    <row r="105">
      <c r="B105" s="14"/>
      <c r="C105" s="14"/>
    </row>
    <row r="106">
      <c r="B106" s="14"/>
      <c r="C106" s="14"/>
    </row>
    <row r="107">
      <c r="B107" s="14"/>
      <c r="C107" s="14"/>
    </row>
    <row r="108">
      <c r="B108" s="14"/>
      <c r="C108" s="14"/>
    </row>
    <row r="109">
      <c r="B109" s="14"/>
      <c r="C109" s="14"/>
    </row>
    <row r="110">
      <c r="B110" s="14"/>
      <c r="C110" s="14"/>
    </row>
    <row r="111">
      <c r="B111" s="14"/>
      <c r="C111" s="14"/>
    </row>
    <row r="112">
      <c r="B112" s="14"/>
      <c r="C112" s="14"/>
    </row>
    <row r="113">
      <c r="B113" s="14"/>
      <c r="C113" s="14"/>
    </row>
    <row r="114">
      <c r="B114" s="14"/>
      <c r="C114" s="14"/>
    </row>
    <row r="115">
      <c r="B115" s="14"/>
      <c r="C115" s="14"/>
    </row>
    <row r="116">
      <c r="B116" s="14"/>
      <c r="C116" s="14"/>
    </row>
    <row r="117">
      <c r="B117" s="14"/>
      <c r="C117" s="14"/>
    </row>
    <row r="118">
      <c r="B118" s="14"/>
      <c r="C118" s="14"/>
    </row>
    <row r="119">
      <c r="B119" s="14"/>
      <c r="C119" s="14"/>
    </row>
    <row r="120">
      <c r="B120" s="14"/>
      <c r="C120" s="14"/>
    </row>
    <row r="121">
      <c r="B121" s="14"/>
      <c r="C121" s="14"/>
    </row>
    <row r="122">
      <c r="B122" s="14"/>
      <c r="C122" s="14"/>
    </row>
    <row r="123">
      <c r="B123" s="14"/>
      <c r="C123" s="14"/>
    </row>
    <row r="124">
      <c r="B124" s="14"/>
      <c r="C124" s="14"/>
    </row>
    <row r="125">
      <c r="B125" s="14"/>
      <c r="C125" s="14"/>
    </row>
    <row r="126">
      <c r="B126" s="14"/>
      <c r="C126" s="14"/>
    </row>
    <row r="127">
      <c r="B127" s="14"/>
      <c r="C127" s="14"/>
    </row>
    <row r="128">
      <c r="B128" s="14"/>
      <c r="C128" s="14"/>
    </row>
    <row r="129">
      <c r="B129" s="14"/>
      <c r="C129" s="14"/>
    </row>
    <row r="130">
      <c r="B130" s="14"/>
      <c r="C130" s="14"/>
    </row>
    <row r="131">
      <c r="B131" s="14"/>
      <c r="C131" s="14"/>
    </row>
    <row r="132">
      <c r="B132" s="14"/>
      <c r="C132" s="14"/>
    </row>
    <row r="133">
      <c r="B133" s="14"/>
      <c r="C133" s="14"/>
    </row>
    <row r="134">
      <c r="B134" s="14"/>
      <c r="C134" s="14"/>
    </row>
    <row r="135">
      <c r="B135" s="14"/>
      <c r="C135" s="14"/>
    </row>
    <row r="136">
      <c r="B136" s="14"/>
      <c r="C136" s="14"/>
    </row>
    <row r="137">
      <c r="B137" s="14"/>
      <c r="C137" s="14"/>
    </row>
    <row r="138">
      <c r="B138" s="14"/>
      <c r="C138" s="14"/>
    </row>
    <row r="139">
      <c r="B139" s="14"/>
      <c r="C139" s="14"/>
    </row>
    <row r="140">
      <c r="B140" s="14"/>
      <c r="C140" s="14"/>
    </row>
    <row r="141">
      <c r="B141" s="14"/>
      <c r="C141" s="14"/>
    </row>
    <row r="142">
      <c r="B142" s="14"/>
      <c r="C142" s="14"/>
    </row>
    <row r="143">
      <c r="B143" s="14"/>
      <c r="C143" s="14"/>
    </row>
    <row r="144">
      <c r="B144" s="14"/>
      <c r="C144" s="14"/>
    </row>
    <row r="145">
      <c r="B145" s="14"/>
      <c r="C145" s="14"/>
    </row>
    <row r="146">
      <c r="B146" s="14"/>
      <c r="C146" s="14"/>
    </row>
    <row r="147">
      <c r="B147" s="14"/>
      <c r="C147" s="14"/>
    </row>
    <row r="148">
      <c r="B148" s="14"/>
      <c r="C148" s="14"/>
    </row>
    <row r="149">
      <c r="B149" s="14"/>
      <c r="C149" s="14"/>
    </row>
    <row r="150">
      <c r="B150" s="14"/>
      <c r="C150" s="14"/>
    </row>
    <row r="151">
      <c r="B151" s="14"/>
      <c r="C151" s="14"/>
    </row>
    <row r="152">
      <c r="B152" s="14"/>
      <c r="C152" s="14"/>
    </row>
    <row r="153">
      <c r="B153" s="14"/>
      <c r="C153" s="14"/>
    </row>
    <row r="154">
      <c r="B154" s="14"/>
      <c r="C154" s="14"/>
    </row>
    <row r="155">
      <c r="B155" s="14"/>
      <c r="C155" s="14"/>
    </row>
    <row r="156">
      <c r="B156" s="14"/>
      <c r="C156" s="14"/>
    </row>
    <row r="157">
      <c r="B157" s="14"/>
      <c r="C157" s="14"/>
    </row>
    <row r="158">
      <c r="B158" s="14"/>
      <c r="C158" s="14"/>
    </row>
    <row r="159">
      <c r="B159" s="14"/>
      <c r="C159" s="14"/>
    </row>
    <row r="160">
      <c r="B160" s="14"/>
      <c r="C160" s="14"/>
    </row>
    <row r="161">
      <c r="B161" s="14"/>
      <c r="C161" s="14"/>
    </row>
    <row r="162">
      <c r="B162" s="14"/>
      <c r="C162" s="14"/>
    </row>
    <row r="163">
      <c r="B163" s="14"/>
      <c r="C163" s="14"/>
    </row>
    <row r="164">
      <c r="B164" s="14"/>
      <c r="C164" s="14"/>
    </row>
    <row r="165">
      <c r="B165" s="14"/>
      <c r="C165" s="14"/>
    </row>
    <row r="166">
      <c r="B166" s="14"/>
      <c r="C166" s="14"/>
    </row>
    <row r="167">
      <c r="B167" s="14"/>
      <c r="C167" s="14"/>
    </row>
    <row r="168">
      <c r="B168" s="14"/>
      <c r="C168" s="14"/>
    </row>
    <row r="169">
      <c r="B169" s="14"/>
      <c r="C169" s="14"/>
    </row>
    <row r="170">
      <c r="B170" s="14"/>
      <c r="C170" s="14"/>
    </row>
    <row r="171">
      <c r="B171" s="14"/>
      <c r="C171" s="14"/>
    </row>
    <row r="172">
      <c r="B172" s="14"/>
      <c r="C172" s="14"/>
    </row>
    <row r="173">
      <c r="B173" s="14"/>
      <c r="C173" s="14"/>
    </row>
    <row r="174">
      <c r="B174" s="14"/>
      <c r="C174" s="14"/>
    </row>
    <row r="175">
      <c r="B175" s="14"/>
      <c r="C175" s="14"/>
    </row>
    <row r="176">
      <c r="B176" s="14"/>
      <c r="C176" s="14"/>
    </row>
    <row r="177">
      <c r="B177" s="14"/>
      <c r="C177" s="14"/>
    </row>
    <row r="178">
      <c r="B178" s="14"/>
      <c r="C178" s="14"/>
    </row>
    <row r="179">
      <c r="B179" s="14"/>
      <c r="C179" s="14"/>
    </row>
    <row r="180">
      <c r="B180" s="14"/>
      <c r="C180" s="14"/>
    </row>
    <row r="181">
      <c r="B181" s="14"/>
      <c r="C181" s="14"/>
    </row>
    <row r="182">
      <c r="B182" s="14"/>
      <c r="C182" s="14"/>
    </row>
    <row r="183">
      <c r="B183" s="14"/>
      <c r="C183" s="14"/>
    </row>
    <row r="184">
      <c r="B184" s="14"/>
      <c r="C184" s="14"/>
    </row>
    <row r="185">
      <c r="B185" s="14"/>
      <c r="C185" s="14"/>
    </row>
    <row r="186">
      <c r="B186" s="14"/>
      <c r="C186" s="14"/>
    </row>
    <row r="187">
      <c r="B187" s="14"/>
      <c r="C187" s="14"/>
    </row>
    <row r="188">
      <c r="B188" s="14"/>
      <c r="C188" s="14"/>
    </row>
    <row r="189">
      <c r="B189" s="14"/>
      <c r="C189" s="14"/>
    </row>
    <row r="190">
      <c r="B190" s="14"/>
      <c r="C190" s="14"/>
    </row>
    <row r="191">
      <c r="B191" s="14"/>
      <c r="C191" s="14"/>
    </row>
    <row r="192">
      <c r="B192" s="14"/>
      <c r="C192" s="14"/>
    </row>
    <row r="193">
      <c r="B193" s="14"/>
      <c r="C193" s="14"/>
    </row>
    <row r="194">
      <c r="B194" s="14"/>
      <c r="C194" s="14"/>
    </row>
    <row r="195">
      <c r="B195" s="14"/>
      <c r="C195" s="14"/>
    </row>
    <row r="196">
      <c r="B196" s="14"/>
      <c r="C196" s="14"/>
    </row>
    <row r="197">
      <c r="B197" s="14"/>
      <c r="C197" s="14"/>
    </row>
    <row r="198">
      <c r="B198" s="14"/>
      <c r="C198" s="14"/>
    </row>
    <row r="199">
      <c r="B199" s="14"/>
      <c r="C199" s="14"/>
    </row>
    <row r="200">
      <c r="B200" s="14"/>
      <c r="C200" s="14"/>
    </row>
    <row r="201">
      <c r="B201" s="14"/>
      <c r="C201" s="14"/>
    </row>
    <row r="202">
      <c r="B202" s="14"/>
      <c r="C202" s="14"/>
    </row>
    <row r="203">
      <c r="B203" s="14"/>
      <c r="C203" s="14"/>
    </row>
    <row r="204">
      <c r="B204" s="14"/>
      <c r="C204" s="14"/>
    </row>
    <row r="205">
      <c r="B205" s="14"/>
      <c r="C205" s="14"/>
    </row>
    <row r="206">
      <c r="B206" s="14"/>
      <c r="C206" s="14"/>
    </row>
    <row r="207">
      <c r="B207" s="14"/>
      <c r="C207" s="14"/>
    </row>
    <row r="208">
      <c r="B208" s="14"/>
      <c r="C208" s="14"/>
    </row>
    <row r="209">
      <c r="B209" s="14"/>
      <c r="C209" s="14"/>
    </row>
    <row r="210">
      <c r="B210" s="14"/>
      <c r="C210" s="14"/>
    </row>
    <row r="211">
      <c r="B211" s="14"/>
      <c r="C211" s="14"/>
    </row>
    <row r="212">
      <c r="B212" s="14"/>
      <c r="C212" s="14"/>
    </row>
    <row r="213">
      <c r="B213" s="14"/>
      <c r="C213" s="14"/>
    </row>
    <row r="214">
      <c r="B214" s="14"/>
      <c r="C214" s="14"/>
    </row>
    <row r="215">
      <c r="B215" s="14"/>
      <c r="C215" s="14"/>
    </row>
    <row r="216">
      <c r="B216" s="14"/>
      <c r="C216" s="14"/>
    </row>
    <row r="217">
      <c r="B217" s="14"/>
      <c r="C217" s="14"/>
    </row>
    <row r="218">
      <c r="B218" s="14"/>
      <c r="C218" s="14"/>
    </row>
    <row r="219">
      <c r="B219" s="14"/>
      <c r="C219" s="14"/>
    </row>
    <row r="220">
      <c r="B220" s="14"/>
      <c r="C220" s="14"/>
    </row>
    <row r="221">
      <c r="B221" s="14"/>
      <c r="C221" s="14"/>
    </row>
    <row r="222">
      <c r="B222" s="14"/>
      <c r="C222" s="14"/>
    </row>
    <row r="223">
      <c r="B223" s="14"/>
      <c r="C223" s="14"/>
    </row>
    <row r="224">
      <c r="B224" s="14"/>
      <c r="C224" s="14"/>
    </row>
    <row r="225">
      <c r="B225" s="14"/>
      <c r="C225" s="14"/>
    </row>
    <row r="226">
      <c r="B226" s="14"/>
      <c r="C226" s="14"/>
    </row>
    <row r="227">
      <c r="B227" s="14"/>
      <c r="C227" s="14"/>
    </row>
    <row r="228">
      <c r="B228" s="14"/>
      <c r="C228" s="14"/>
    </row>
    <row r="229">
      <c r="B229" s="14"/>
      <c r="C229" s="14"/>
    </row>
    <row r="230">
      <c r="B230" s="14"/>
      <c r="C230" s="14"/>
    </row>
    <row r="231">
      <c r="B231" s="14"/>
      <c r="C231" s="14"/>
    </row>
    <row r="232">
      <c r="B232" s="14"/>
      <c r="C232" s="14"/>
    </row>
    <row r="233">
      <c r="B233" s="14"/>
      <c r="C233" s="14"/>
    </row>
    <row r="234">
      <c r="B234" s="14"/>
      <c r="C234" s="14"/>
    </row>
    <row r="235">
      <c r="B235" s="14"/>
      <c r="C235" s="14"/>
    </row>
    <row r="236">
      <c r="B236" s="14"/>
      <c r="C236" s="14"/>
    </row>
    <row r="237">
      <c r="B237" s="14"/>
      <c r="C237" s="14"/>
    </row>
    <row r="238">
      <c r="B238" s="14"/>
      <c r="C238" s="14"/>
    </row>
    <row r="239">
      <c r="B239" s="14"/>
      <c r="C239" s="14"/>
    </row>
    <row r="240">
      <c r="B240" s="14"/>
      <c r="C240" s="14"/>
    </row>
    <row r="241">
      <c r="B241" s="14"/>
      <c r="C241" s="14"/>
    </row>
    <row r="242">
      <c r="B242" s="14"/>
      <c r="C242" s="14"/>
    </row>
    <row r="243">
      <c r="B243" s="14"/>
      <c r="C243" s="14"/>
    </row>
    <row r="244">
      <c r="B244" s="14"/>
      <c r="C244" s="14"/>
    </row>
    <row r="245">
      <c r="B245" s="14"/>
      <c r="C245" s="14"/>
    </row>
    <row r="246">
      <c r="B246" s="14"/>
      <c r="C246" s="14"/>
    </row>
    <row r="247">
      <c r="B247" s="14"/>
      <c r="C247" s="14"/>
    </row>
    <row r="248">
      <c r="B248" s="14"/>
      <c r="C248" s="14"/>
    </row>
    <row r="249">
      <c r="B249" s="14"/>
      <c r="C249" s="14"/>
    </row>
    <row r="250">
      <c r="B250" s="14"/>
      <c r="C250" s="14"/>
    </row>
    <row r="251">
      <c r="B251" s="14"/>
      <c r="C251" s="14"/>
    </row>
    <row r="252">
      <c r="B252" s="14"/>
      <c r="C252" s="14"/>
    </row>
    <row r="253">
      <c r="B253" s="14"/>
      <c r="C253" s="14"/>
    </row>
    <row r="254">
      <c r="B254" s="14"/>
      <c r="C254" s="14"/>
    </row>
    <row r="255">
      <c r="B255" s="14"/>
      <c r="C255" s="14"/>
    </row>
    <row r="256">
      <c r="B256" s="14"/>
      <c r="C256" s="14"/>
    </row>
    <row r="257">
      <c r="B257" s="14"/>
      <c r="C257" s="14"/>
    </row>
    <row r="258">
      <c r="B258" s="14"/>
      <c r="C258" s="14"/>
    </row>
    <row r="259">
      <c r="B259" s="14"/>
      <c r="C259" s="14"/>
    </row>
    <row r="260">
      <c r="B260" s="14"/>
      <c r="C260" s="14"/>
    </row>
    <row r="261">
      <c r="B261" s="14"/>
      <c r="C261" s="14"/>
    </row>
    <row r="262">
      <c r="B262" s="14"/>
      <c r="C262" s="14"/>
    </row>
    <row r="263">
      <c r="B263" s="14"/>
      <c r="C263" s="14"/>
    </row>
    <row r="264">
      <c r="B264" s="14"/>
      <c r="C264" s="14"/>
    </row>
    <row r="265">
      <c r="B265" s="14"/>
      <c r="C265" s="14"/>
    </row>
    <row r="266">
      <c r="B266" s="14"/>
      <c r="C266" s="14"/>
    </row>
    <row r="267">
      <c r="B267" s="14"/>
      <c r="C267" s="14"/>
    </row>
    <row r="268">
      <c r="B268" s="14"/>
      <c r="C268" s="14"/>
    </row>
    <row r="269">
      <c r="B269" s="14"/>
      <c r="C269" s="14"/>
    </row>
    <row r="270">
      <c r="B270" s="14"/>
      <c r="C270" s="14"/>
    </row>
    <row r="271">
      <c r="B271" s="14"/>
      <c r="C271" s="14"/>
    </row>
    <row r="272">
      <c r="B272" s="14"/>
      <c r="C272" s="14"/>
    </row>
    <row r="273">
      <c r="B273" s="14"/>
      <c r="C273" s="14"/>
    </row>
    <row r="274">
      <c r="B274" s="14"/>
      <c r="C274" s="14"/>
    </row>
    <row r="275">
      <c r="B275" s="14"/>
      <c r="C275" s="14"/>
    </row>
    <row r="276">
      <c r="B276" s="14"/>
      <c r="C276" s="14"/>
    </row>
    <row r="277">
      <c r="B277" s="14"/>
      <c r="C277" s="14"/>
    </row>
    <row r="278">
      <c r="B278" s="14"/>
      <c r="C278" s="14"/>
    </row>
    <row r="279">
      <c r="B279" s="14"/>
      <c r="C279" s="14"/>
    </row>
    <row r="280">
      <c r="B280" s="14"/>
      <c r="C280" s="14"/>
    </row>
    <row r="281">
      <c r="B281" s="14"/>
      <c r="C281" s="14"/>
    </row>
    <row r="282">
      <c r="B282" s="14"/>
      <c r="C282" s="14"/>
    </row>
    <row r="283">
      <c r="B283" s="14"/>
      <c r="C283" s="14"/>
    </row>
    <row r="284">
      <c r="B284" s="14"/>
      <c r="C284" s="14"/>
    </row>
    <row r="285">
      <c r="B285" s="14"/>
      <c r="C285" s="14"/>
    </row>
    <row r="286">
      <c r="B286" s="14"/>
      <c r="C286" s="14"/>
    </row>
    <row r="287">
      <c r="B287" s="14"/>
      <c r="C287" s="14"/>
    </row>
    <row r="288">
      <c r="B288" s="14"/>
      <c r="C288" s="14"/>
    </row>
    <row r="289">
      <c r="B289" s="14"/>
      <c r="C289" s="14"/>
    </row>
    <row r="290">
      <c r="B290" s="14"/>
      <c r="C290" s="14"/>
    </row>
    <row r="291">
      <c r="B291" s="14"/>
      <c r="C291" s="14"/>
    </row>
    <row r="292">
      <c r="B292" s="14"/>
      <c r="C292" s="14"/>
    </row>
    <row r="293">
      <c r="B293" s="14"/>
      <c r="C293" s="14"/>
    </row>
    <row r="294">
      <c r="B294" s="14"/>
      <c r="C294" s="14"/>
    </row>
    <row r="295">
      <c r="B295" s="14"/>
      <c r="C295" s="14"/>
    </row>
    <row r="296">
      <c r="B296" s="14"/>
      <c r="C296" s="14"/>
    </row>
    <row r="297">
      <c r="B297" s="14"/>
      <c r="C297" s="14"/>
    </row>
    <row r="298">
      <c r="B298" s="14"/>
      <c r="C298" s="14"/>
    </row>
    <row r="299">
      <c r="B299" s="14"/>
      <c r="C299" s="14"/>
    </row>
    <row r="300">
      <c r="B300" s="14"/>
      <c r="C300" s="14"/>
    </row>
    <row r="301">
      <c r="B301" s="14"/>
      <c r="C301" s="14"/>
    </row>
    <row r="302">
      <c r="B302" s="14"/>
      <c r="C302" s="14"/>
    </row>
    <row r="303">
      <c r="B303" s="14"/>
      <c r="C303" s="14"/>
    </row>
    <row r="304">
      <c r="B304" s="14"/>
      <c r="C304" s="14"/>
    </row>
    <row r="305">
      <c r="B305" s="14"/>
      <c r="C305" s="14"/>
    </row>
    <row r="306">
      <c r="B306" s="14"/>
      <c r="C306" s="14"/>
    </row>
    <row r="307">
      <c r="B307" s="14"/>
      <c r="C307" s="14"/>
    </row>
    <row r="308">
      <c r="B308" s="14"/>
      <c r="C308" s="14"/>
    </row>
    <row r="309">
      <c r="B309" s="14"/>
      <c r="C309" s="14"/>
    </row>
    <row r="310">
      <c r="B310" s="14"/>
      <c r="C310" s="14"/>
    </row>
    <row r="311">
      <c r="B311" s="14"/>
      <c r="C311" s="14"/>
    </row>
    <row r="312">
      <c r="B312" s="14"/>
      <c r="C312" s="14"/>
    </row>
    <row r="313">
      <c r="B313" s="14"/>
      <c r="C313" s="14"/>
    </row>
    <row r="314">
      <c r="B314" s="14"/>
      <c r="C314" s="14"/>
    </row>
    <row r="315">
      <c r="B315" s="14"/>
      <c r="C315" s="14"/>
    </row>
    <row r="316">
      <c r="B316" s="14"/>
      <c r="C316" s="14"/>
    </row>
    <row r="317">
      <c r="B317" s="14"/>
      <c r="C317" s="14"/>
    </row>
    <row r="318">
      <c r="B318" s="14"/>
      <c r="C318" s="14"/>
    </row>
    <row r="319">
      <c r="B319" s="14"/>
      <c r="C319" s="14"/>
    </row>
    <row r="320">
      <c r="B320" s="14"/>
      <c r="C320" s="14"/>
    </row>
    <row r="321">
      <c r="B321" s="14"/>
      <c r="C321" s="14"/>
    </row>
    <row r="322">
      <c r="B322" s="14"/>
      <c r="C322" s="14"/>
    </row>
    <row r="323">
      <c r="B323" s="14"/>
      <c r="C323" s="14"/>
    </row>
    <row r="324">
      <c r="B324" s="14"/>
      <c r="C324" s="14"/>
    </row>
    <row r="325">
      <c r="B325" s="14"/>
      <c r="C325" s="14"/>
    </row>
    <row r="326">
      <c r="B326" s="14"/>
      <c r="C326" s="14"/>
    </row>
    <row r="327">
      <c r="B327" s="14"/>
      <c r="C327" s="14"/>
    </row>
    <row r="328">
      <c r="B328" s="14"/>
      <c r="C328" s="14"/>
    </row>
    <row r="329">
      <c r="B329" s="14"/>
      <c r="C329" s="14"/>
    </row>
    <row r="330">
      <c r="B330" s="14"/>
      <c r="C330" s="14"/>
    </row>
    <row r="331">
      <c r="B331" s="14"/>
      <c r="C331" s="14"/>
    </row>
    <row r="332">
      <c r="B332" s="14"/>
      <c r="C332" s="14"/>
    </row>
    <row r="333">
      <c r="B333" s="14"/>
      <c r="C333" s="14"/>
    </row>
    <row r="334">
      <c r="B334" s="14"/>
      <c r="C334" s="14"/>
    </row>
    <row r="335">
      <c r="B335" s="14"/>
      <c r="C335" s="14"/>
    </row>
    <row r="336">
      <c r="B336" s="14"/>
      <c r="C336" s="14"/>
    </row>
    <row r="337">
      <c r="B337" s="14"/>
      <c r="C337" s="14"/>
    </row>
    <row r="338">
      <c r="B338" s="14"/>
      <c r="C338" s="14"/>
    </row>
    <row r="339">
      <c r="B339" s="14"/>
      <c r="C339" s="14"/>
    </row>
    <row r="340">
      <c r="B340" s="14"/>
      <c r="C340" s="14"/>
    </row>
    <row r="341">
      <c r="B341" s="14"/>
      <c r="C341" s="14"/>
    </row>
    <row r="342">
      <c r="B342" s="14"/>
      <c r="C342" s="14"/>
    </row>
    <row r="343">
      <c r="B343" s="14"/>
      <c r="C343" s="14"/>
    </row>
    <row r="344">
      <c r="B344" s="14"/>
      <c r="C344" s="14"/>
    </row>
    <row r="345">
      <c r="B345" s="14"/>
      <c r="C345" s="14"/>
    </row>
    <row r="346">
      <c r="B346" s="14"/>
      <c r="C346" s="14"/>
    </row>
    <row r="347">
      <c r="B347" s="14"/>
      <c r="C347" s="14"/>
    </row>
    <row r="348">
      <c r="B348" s="14"/>
      <c r="C348" s="14"/>
    </row>
    <row r="349">
      <c r="B349" s="14"/>
      <c r="C349" s="14"/>
    </row>
    <row r="350">
      <c r="B350" s="14"/>
      <c r="C350" s="14"/>
    </row>
    <row r="351">
      <c r="B351" s="14"/>
      <c r="C351" s="14"/>
    </row>
    <row r="352">
      <c r="B352" s="14"/>
      <c r="C352" s="14"/>
    </row>
    <row r="353">
      <c r="B353" s="14"/>
      <c r="C353" s="14"/>
    </row>
    <row r="354">
      <c r="B354" s="14"/>
      <c r="C354" s="14"/>
    </row>
    <row r="355">
      <c r="B355" s="14"/>
      <c r="C355" s="14"/>
    </row>
    <row r="356">
      <c r="B356" s="14"/>
      <c r="C356" s="14"/>
    </row>
    <row r="357">
      <c r="B357" s="14"/>
      <c r="C357" s="14"/>
    </row>
    <row r="358">
      <c r="B358" s="14"/>
      <c r="C358" s="14"/>
    </row>
    <row r="359">
      <c r="B359" s="14"/>
      <c r="C359" s="14"/>
    </row>
    <row r="360">
      <c r="B360" s="14"/>
      <c r="C360" s="14"/>
    </row>
    <row r="361">
      <c r="B361" s="14"/>
      <c r="C361" s="14"/>
    </row>
    <row r="362">
      <c r="B362" s="14"/>
      <c r="C362" s="14"/>
    </row>
    <row r="363">
      <c r="B363" s="14"/>
      <c r="C363" s="14"/>
    </row>
    <row r="364">
      <c r="B364" s="14"/>
      <c r="C364" s="14"/>
    </row>
    <row r="365">
      <c r="B365" s="14"/>
      <c r="C365" s="14"/>
    </row>
    <row r="366">
      <c r="B366" s="14"/>
      <c r="C366" s="14"/>
    </row>
    <row r="367">
      <c r="B367" s="14"/>
      <c r="C367" s="14"/>
    </row>
    <row r="368">
      <c r="B368" s="14"/>
      <c r="C368" s="14"/>
    </row>
    <row r="369">
      <c r="B369" s="14"/>
      <c r="C369" s="14"/>
    </row>
    <row r="370">
      <c r="B370" s="14"/>
      <c r="C370" s="14"/>
    </row>
    <row r="371">
      <c r="B371" s="14"/>
      <c r="C371" s="14"/>
    </row>
    <row r="372">
      <c r="B372" s="14"/>
      <c r="C372" s="14"/>
    </row>
    <row r="373">
      <c r="B373" s="14"/>
      <c r="C373" s="14"/>
    </row>
    <row r="374">
      <c r="B374" s="14"/>
      <c r="C374" s="14"/>
    </row>
    <row r="375">
      <c r="B375" s="14"/>
      <c r="C375" s="14"/>
    </row>
    <row r="376">
      <c r="B376" s="14"/>
      <c r="C376" s="14"/>
    </row>
    <row r="377">
      <c r="B377" s="14"/>
      <c r="C377" s="14"/>
    </row>
    <row r="378">
      <c r="B378" s="14"/>
      <c r="C378" s="14"/>
    </row>
    <row r="379">
      <c r="B379" s="14"/>
      <c r="C379" s="14"/>
    </row>
    <row r="380">
      <c r="B380" s="14"/>
      <c r="C380" s="14"/>
    </row>
    <row r="381">
      <c r="B381" s="14"/>
      <c r="C381" s="14"/>
    </row>
    <row r="382">
      <c r="B382" s="14"/>
      <c r="C382" s="14"/>
    </row>
    <row r="383">
      <c r="B383" s="14"/>
      <c r="C383" s="14"/>
    </row>
    <row r="384">
      <c r="B384" s="14"/>
      <c r="C384" s="14"/>
    </row>
    <row r="385">
      <c r="B385" s="14"/>
      <c r="C385" s="14"/>
    </row>
    <row r="386">
      <c r="B386" s="14"/>
      <c r="C386" s="14"/>
    </row>
    <row r="387">
      <c r="B387" s="14"/>
      <c r="C387" s="14"/>
    </row>
    <row r="388">
      <c r="B388" s="14"/>
      <c r="C388" s="14"/>
    </row>
    <row r="389">
      <c r="B389" s="14"/>
      <c r="C389" s="14"/>
    </row>
    <row r="390">
      <c r="B390" s="14"/>
      <c r="C390" s="14"/>
    </row>
    <row r="391">
      <c r="B391" s="14"/>
      <c r="C391" s="14"/>
    </row>
    <row r="392">
      <c r="B392" s="14"/>
      <c r="C392" s="14"/>
    </row>
    <row r="393">
      <c r="B393" s="14"/>
      <c r="C393" s="14"/>
    </row>
    <row r="394">
      <c r="B394" s="14"/>
      <c r="C394" s="14"/>
    </row>
    <row r="395">
      <c r="B395" s="14"/>
      <c r="C395" s="14"/>
    </row>
    <row r="396">
      <c r="B396" s="14"/>
      <c r="C396" s="14"/>
    </row>
    <row r="397">
      <c r="B397" s="14"/>
      <c r="C397" s="14"/>
    </row>
    <row r="398">
      <c r="B398" s="14"/>
      <c r="C398" s="14"/>
    </row>
    <row r="399">
      <c r="B399" s="14"/>
      <c r="C399" s="14"/>
    </row>
    <row r="400">
      <c r="B400" s="14"/>
      <c r="C400" s="14"/>
    </row>
    <row r="401">
      <c r="B401" s="14"/>
      <c r="C401" s="14"/>
    </row>
    <row r="402">
      <c r="B402" s="14"/>
      <c r="C402" s="14"/>
    </row>
    <row r="403">
      <c r="B403" s="14"/>
      <c r="C403" s="14"/>
    </row>
    <row r="404">
      <c r="B404" s="14"/>
      <c r="C404" s="14"/>
    </row>
    <row r="405">
      <c r="B405" s="14"/>
      <c r="C405" s="14"/>
    </row>
    <row r="406">
      <c r="B406" s="14"/>
      <c r="C406" s="14"/>
    </row>
    <row r="407">
      <c r="B407" s="14"/>
      <c r="C407" s="14"/>
    </row>
    <row r="408">
      <c r="B408" s="14"/>
      <c r="C408" s="14"/>
    </row>
    <row r="409">
      <c r="B409" s="14"/>
      <c r="C409" s="14"/>
    </row>
    <row r="410">
      <c r="B410" s="14"/>
      <c r="C410" s="14"/>
    </row>
    <row r="411">
      <c r="B411" s="14"/>
      <c r="C411" s="14"/>
    </row>
    <row r="412">
      <c r="B412" s="14"/>
      <c r="C412" s="14"/>
    </row>
    <row r="413">
      <c r="B413" s="14"/>
      <c r="C413" s="14"/>
    </row>
    <row r="414">
      <c r="B414" s="14"/>
      <c r="C414" s="14"/>
    </row>
    <row r="415">
      <c r="B415" s="14"/>
      <c r="C415" s="14"/>
    </row>
    <row r="416">
      <c r="B416" s="14"/>
      <c r="C416" s="14"/>
    </row>
    <row r="417">
      <c r="B417" s="14"/>
      <c r="C417" s="14"/>
    </row>
    <row r="418">
      <c r="B418" s="14"/>
      <c r="C418" s="14"/>
    </row>
    <row r="419">
      <c r="B419" s="14"/>
      <c r="C419" s="14"/>
    </row>
    <row r="420">
      <c r="B420" s="14"/>
      <c r="C420" s="14"/>
    </row>
    <row r="421">
      <c r="B421" s="14"/>
      <c r="C421" s="14"/>
    </row>
    <row r="422">
      <c r="B422" s="14"/>
      <c r="C422" s="14"/>
    </row>
    <row r="423">
      <c r="B423" s="14"/>
      <c r="C423" s="14"/>
    </row>
    <row r="424">
      <c r="B424" s="14"/>
      <c r="C424" s="14"/>
    </row>
    <row r="425">
      <c r="B425" s="14"/>
      <c r="C425" s="14"/>
    </row>
    <row r="426">
      <c r="B426" s="14"/>
      <c r="C426" s="14"/>
    </row>
    <row r="427">
      <c r="B427" s="14"/>
      <c r="C427" s="14"/>
    </row>
    <row r="428">
      <c r="B428" s="14"/>
      <c r="C428" s="14"/>
    </row>
    <row r="429">
      <c r="B429" s="14"/>
      <c r="C429" s="14"/>
    </row>
    <row r="430">
      <c r="B430" s="14"/>
      <c r="C430" s="14"/>
    </row>
    <row r="431">
      <c r="B431" s="14"/>
      <c r="C431" s="14"/>
    </row>
    <row r="432">
      <c r="B432" s="14"/>
      <c r="C432" s="14"/>
    </row>
    <row r="433">
      <c r="B433" s="14"/>
      <c r="C433" s="14"/>
    </row>
    <row r="434">
      <c r="B434" s="14"/>
      <c r="C434" s="14"/>
    </row>
    <row r="435">
      <c r="B435" s="14"/>
      <c r="C435" s="14"/>
    </row>
    <row r="436">
      <c r="B436" s="14"/>
      <c r="C436" s="14"/>
    </row>
    <row r="437">
      <c r="B437" s="14"/>
      <c r="C437" s="14"/>
    </row>
    <row r="438">
      <c r="B438" s="14"/>
      <c r="C438" s="14"/>
    </row>
    <row r="439">
      <c r="B439" s="14"/>
      <c r="C439" s="14"/>
    </row>
    <row r="440">
      <c r="B440" s="14"/>
      <c r="C440" s="14"/>
    </row>
    <row r="441">
      <c r="B441" s="14"/>
      <c r="C441" s="14"/>
    </row>
    <row r="442">
      <c r="B442" s="14"/>
      <c r="C442" s="14"/>
    </row>
    <row r="443">
      <c r="B443" s="14"/>
      <c r="C443" s="14"/>
    </row>
    <row r="444">
      <c r="B444" s="14"/>
      <c r="C444" s="14"/>
    </row>
    <row r="445">
      <c r="B445" s="14"/>
      <c r="C445" s="14"/>
    </row>
    <row r="446">
      <c r="B446" s="14"/>
      <c r="C446" s="14"/>
    </row>
    <row r="447">
      <c r="B447" s="14"/>
      <c r="C447" s="14"/>
    </row>
    <row r="448">
      <c r="B448" s="14"/>
      <c r="C448" s="14"/>
    </row>
    <row r="449">
      <c r="B449" s="14"/>
      <c r="C449" s="14"/>
    </row>
    <row r="450">
      <c r="B450" s="14"/>
      <c r="C450" s="14"/>
    </row>
    <row r="451">
      <c r="B451" s="14"/>
      <c r="C451" s="14"/>
    </row>
    <row r="452">
      <c r="B452" s="14"/>
      <c r="C452" s="14"/>
    </row>
    <row r="453">
      <c r="B453" s="14"/>
      <c r="C453" s="14"/>
    </row>
    <row r="454">
      <c r="B454" s="14"/>
      <c r="C454" s="14"/>
    </row>
    <row r="455">
      <c r="B455" s="14"/>
      <c r="C455" s="14"/>
    </row>
    <row r="456">
      <c r="B456" s="14"/>
      <c r="C456" s="14"/>
    </row>
    <row r="457">
      <c r="B457" s="14"/>
      <c r="C457" s="14"/>
    </row>
    <row r="458">
      <c r="B458" s="14"/>
      <c r="C458" s="14"/>
    </row>
    <row r="459">
      <c r="B459" s="14"/>
      <c r="C459" s="14"/>
    </row>
    <row r="460">
      <c r="B460" s="14"/>
      <c r="C460" s="14"/>
    </row>
    <row r="461">
      <c r="B461" s="14"/>
      <c r="C461" s="14"/>
    </row>
    <row r="462">
      <c r="B462" s="14"/>
      <c r="C462" s="14"/>
    </row>
    <row r="463">
      <c r="B463" s="14"/>
      <c r="C463" s="14"/>
    </row>
    <row r="464">
      <c r="B464" s="14"/>
      <c r="C464" s="14"/>
    </row>
    <row r="465">
      <c r="B465" s="14"/>
      <c r="C465" s="14"/>
    </row>
    <row r="466">
      <c r="B466" s="14"/>
      <c r="C466" s="14"/>
    </row>
    <row r="467">
      <c r="B467" s="14"/>
      <c r="C467" s="14"/>
    </row>
    <row r="468">
      <c r="B468" s="14"/>
      <c r="C468" s="14"/>
    </row>
    <row r="469">
      <c r="B469" s="14"/>
      <c r="C469" s="14"/>
    </row>
    <row r="470">
      <c r="B470" s="14"/>
      <c r="C470" s="14"/>
    </row>
    <row r="471">
      <c r="B471" s="14"/>
      <c r="C471" s="14"/>
    </row>
    <row r="472">
      <c r="B472" s="14"/>
      <c r="C472" s="14"/>
    </row>
    <row r="473">
      <c r="B473" s="14"/>
      <c r="C473" s="14"/>
    </row>
    <row r="474">
      <c r="B474" s="14"/>
      <c r="C474" s="14"/>
    </row>
    <row r="475">
      <c r="B475" s="14"/>
      <c r="C475" s="14"/>
    </row>
    <row r="476">
      <c r="B476" s="14"/>
      <c r="C476" s="14"/>
    </row>
    <row r="477">
      <c r="B477" s="14"/>
      <c r="C477" s="14"/>
    </row>
    <row r="478">
      <c r="B478" s="14"/>
      <c r="C478" s="14"/>
    </row>
    <row r="479">
      <c r="B479" s="14"/>
      <c r="C479" s="14"/>
    </row>
    <row r="480">
      <c r="B480" s="14"/>
      <c r="C480" s="14"/>
    </row>
    <row r="481">
      <c r="B481" s="14"/>
      <c r="C481" s="14"/>
    </row>
    <row r="482">
      <c r="B482" s="14"/>
      <c r="C482" s="14"/>
    </row>
    <row r="483">
      <c r="B483" s="14"/>
      <c r="C483" s="14"/>
    </row>
    <row r="484">
      <c r="B484" s="14"/>
      <c r="C484" s="14"/>
    </row>
    <row r="485">
      <c r="B485" s="14"/>
      <c r="C485" s="14"/>
    </row>
    <row r="486">
      <c r="B486" s="14"/>
      <c r="C486" s="14"/>
    </row>
    <row r="487">
      <c r="B487" s="14"/>
      <c r="C487" s="14"/>
    </row>
    <row r="488">
      <c r="B488" s="14"/>
      <c r="C488" s="14"/>
    </row>
    <row r="489">
      <c r="B489" s="14"/>
      <c r="C489" s="14"/>
    </row>
    <row r="490">
      <c r="B490" s="14"/>
      <c r="C490" s="14"/>
    </row>
    <row r="491">
      <c r="B491" s="14"/>
      <c r="C491" s="14"/>
    </row>
    <row r="492">
      <c r="B492" s="14"/>
      <c r="C492" s="14"/>
    </row>
    <row r="493">
      <c r="B493" s="14"/>
      <c r="C493" s="14"/>
    </row>
    <row r="494">
      <c r="B494" s="14"/>
      <c r="C494" s="14"/>
    </row>
    <row r="495">
      <c r="B495" s="14"/>
      <c r="C495" s="14"/>
    </row>
    <row r="496">
      <c r="B496" s="14"/>
      <c r="C496" s="14"/>
    </row>
    <row r="497">
      <c r="B497" s="14"/>
      <c r="C497" s="14"/>
    </row>
    <row r="498">
      <c r="B498" s="14"/>
      <c r="C498" s="14"/>
    </row>
    <row r="499">
      <c r="B499" s="14"/>
      <c r="C499" s="14"/>
    </row>
    <row r="500">
      <c r="B500" s="14"/>
      <c r="C500" s="14"/>
    </row>
    <row r="501">
      <c r="B501" s="14"/>
      <c r="C501" s="14"/>
    </row>
    <row r="502">
      <c r="B502" s="14"/>
      <c r="C502" s="14"/>
    </row>
    <row r="503">
      <c r="B503" s="14"/>
      <c r="C503" s="14"/>
    </row>
    <row r="504">
      <c r="B504" s="14"/>
      <c r="C504" s="14"/>
    </row>
    <row r="505">
      <c r="B505" s="14"/>
      <c r="C505" s="14"/>
    </row>
    <row r="506">
      <c r="B506" s="14"/>
      <c r="C506" s="14"/>
    </row>
    <row r="507">
      <c r="B507" s="14"/>
      <c r="C507" s="14"/>
    </row>
    <row r="508">
      <c r="B508" s="14"/>
      <c r="C508" s="14"/>
    </row>
    <row r="509">
      <c r="B509" s="14"/>
      <c r="C509" s="14"/>
    </row>
    <row r="510">
      <c r="B510" s="14"/>
      <c r="C510" s="14"/>
    </row>
    <row r="511">
      <c r="B511" s="14"/>
      <c r="C511" s="14"/>
    </row>
    <row r="512">
      <c r="B512" s="14"/>
      <c r="C512" s="14"/>
    </row>
    <row r="513">
      <c r="B513" s="14"/>
      <c r="C513" s="14"/>
    </row>
    <row r="514">
      <c r="B514" s="14"/>
      <c r="C514" s="14"/>
    </row>
    <row r="515">
      <c r="B515" s="14"/>
      <c r="C515" s="14"/>
    </row>
    <row r="516">
      <c r="B516" s="14"/>
      <c r="C516" s="14"/>
    </row>
    <row r="517">
      <c r="B517" s="14"/>
      <c r="C517" s="14"/>
    </row>
    <row r="518">
      <c r="B518" s="14"/>
      <c r="C518" s="14"/>
    </row>
    <row r="519">
      <c r="B519" s="14"/>
      <c r="C519" s="14"/>
    </row>
    <row r="520">
      <c r="B520" s="14"/>
      <c r="C520" s="14"/>
    </row>
    <row r="521">
      <c r="B521" s="14"/>
      <c r="C521" s="14"/>
    </row>
    <row r="522">
      <c r="B522" s="14"/>
      <c r="C522" s="14"/>
    </row>
    <row r="523">
      <c r="B523" s="14"/>
      <c r="C523" s="14"/>
    </row>
    <row r="524">
      <c r="B524" s="14"/>
      <c r="C524" s="14"/>
    </row>
    <row r="525">
      <c r="B525" s="14"/>
      <c r="C525" s="14"/>
    </row>
    <row r="526">
      <c r="B526" s="14"/>
      <c r="C526" s="14"/>
    </row>
    <row r="527">
      <c r="B527" s="14"/>
      <c r="C527" s="14"/>
    </row>
    <row r="528">
      <c r="B528" s="14"/>
      <c r="C528" s="14"/>
    </row>
    <row r="529">
      <c r="B529" s="14"/>
      <c r="C529" s="14"/>
    </row>
    <row r="530">
      <c r="B530" s="14"/>
      <c r="C530" s="14"/>
    </row>
    <row r="531">
      <c r="B531" s="14"/>
      <c r="C531" s="14"/>
    </row>
    <row r="532">
      <c r="B532" s="14"/>
      <c r="C532" s="14"/>
    </row>
    <row r="533">
      <c r="B533" s="14"/>
      <c r="C533" s="14"/>
    </row>
    <row r="534">
      <c r="B534" s="14"/>
      <c r="C534" s="14"/>
    </row>
    <row r="535">
      <c r="B535" s="14"/>
      <c r="C535" s="14"/>
    </row>
    <row r="536">
      <c r="B536" s="14"/>
      <c r="C536" s="14"/>
    </row>
    <row r="537">
      <c r="B537" s="14"/>
      <c r="C537" s="14"/>
    </row>
    <row r="538">
      <c r="B538" s="14"/>
      <c r="C538" s="14"/>
    </row>
    <row r="539">
      <c r="B539" s="14"/>
      <c r="C539" s="14"/>
    </row>
    <row r="540">
      <c r="B540" s="14"/>
      <c r="C540" s="14"/>
    </row>
    <row r="541">
      <c r="B541" s="14"/>
      <c r="C541" s="14"/>
    </row>
    <row r="542">
      <c r="B542" s="14"/>
      <c r="C542" s="14"/>
    </row>
    <row r="543">
      <c r="B543" s="14"/>
      <c r="C543" s="14"/>
    </row>
    <row r="544">
      <c r="B544" s="14"/>
      <c r="C544" s="14"/>
    </row>
    <row r="545">
      <c r="B545" s="14"/>
      <c r="C545" s="14"/>
    </row>
    <row r="546">
      <c r="B546" s="14"/>
      <c r="C546" s="14"/>
    </row>
    <row r="547">
      <c r="B547" s="14"/>
      <c r="C547" s="14"/>
    </row>
    <row r="548">
      <c r="B548" s="14"/>
      <c r="C548" s="14"/>
    </row>
    <row r="549">
      <c r="B549" s="14"/>
      <c r="C549" s="14"/>
    </row>
    <row r="550">
      <c r="B550" s="14"/>
      <c r="C550" s="14"/>
    </row>
    <row r="551">
      <c r="B551" s="14"/>
      <c r="C551" s="14"/>
    </row>
    <row r="552">
      <c r="B552" s="14"/>
      <c r="C552" s="14"/>
    </row>
    <row r="553">
      <c r="B553" s="14"/>
      <c r="C553" s="14"/>
    </row>
    <row r="554">
      <c r="B554" s="14"/>
      <c r="C554" s="14"/>
    </row>
    <row r="555">
      <c r="B555" s="14"/>
      <c r="C555" s="14"/>
    </row>
    <row r="556">
      <c r="B556" s="14"/>
      <c r="C556" s="14"/>
    </row>
    <row r="557">
      <c r="B557" s="14"/>
      <c r="C557" s="14"/>
    </row>
    <row r="558">
      <c r="B558" s="14"/>
      <c r="C558" s="14"/>
    </row>
    <row r="559">
      <c r="B559" s="14"/>
      <c r="C559" s="14"/>
    </row>
    <row r="560">
      <c r="B560" s="14"/>
      <c r="C560" s="14"/>
    </row>
    <row r="561">
      <c r="B561" s="14"/>
      <c r="C561" s="14"/>
    </row>
    <row r="562">
      <c r="B562" s="14"/>
      <c r="C562" s="14"/>
    </row>
    <row r="563">
      <c r="B563" s="14"/>
      <c r="C563" s="14"/>
    </row>
    <row r="564">
      <c r="B564" s="14"/>
      <c r="C564" s="14"/>
    </row>
    <row r="565">
      <c r="B565" s="14"/>
      <c r="C565" s="14"/>
    </row>
    <row r="566">
      <c r="B566" s="14"/>
      <c r="C566" s="14"/>
    </row>
    <row r="567">
      <c r="B567" s="14"/>
      <c r="C567" s="14"/>
    </row>
    <row r="568">
      <c r="B568" s="14"/>
      <c r="C568" s="14"/>
    </row>
    <row r="569">
      <c r="B569" s="14"/>
      <c r="C569" s="14"/>
    </row>
    <row r="570">
      <c r="B570" s="14"/>
      <c r="C570" s="14"/>
    </row>
    <row r="571">
      <c r="B571" s="14"/>
      <c r="C571" s="14"/>
    </row>
    <row r="572">
      <c r="B572" s="14"/>
      <c r="C572" s="14"/>
    </row>
    <row r="573">
      <c r="B573" s="14"/>
      <c r="C573" s="14"/>
    </row>
    <row r="574">
      <c r="B574" s="14"/>
      <c r="C574" s="14"/>
    </row>
    <row r="575">
      <c r="B575" s="14"/>
      <c r="C575" s="14"/>
    </row>
    <row r="576">
      <c r="B576" s="14"/>
      <c r="C576" s="14"/>
    </row>
    <row r="577">
      <c r="B577" s="14"/>
      <c r="C577" s="14"/>
    </row>
    <row r="578">
      <c r="B578" s="14"/>
      <c r="C578" s="14"/>
    </row>
    <row r="579">
      <c r="B579" s="14"/>
      <c r="C579" s="14"/>
    </row>
    <row r="580">
      <c r="B580" s="14"/>
      <c r="C580" s="14"/>
    </row>
    <row r="581">
      <c r="B581" s="14"/>
      <c r="C581" s="14"/>
    </row>
    <row r="582">
      <c r="B582" s="14"/>
      <c r="C582" s="14"/>
    </row>
    <row r="583">
      <c r="B583" s="14"/>
      <c r="C583" s="14"/>
    </row>
    <row r="584">
      <c r="B584" s="14"/>
      <c r="C584" s="14"/>
    </row>
    <row r="585">
      <c r="B585" s="14"/>
      <c r="C585" s="14"/>
    </row>
    <row r="586">
      <c r="B586" s="14"/>
      <c r="C586" s="14"/>
    </row>
    <row r="587">
      <c r="B587" s="14"/>
      <c r="C587" s="14"/>
    </row>
    <row r="588">
      <c r="B588" s="14"/>
      <c r="C588" s="14"/>
    </row>
    <row r="589">
      <c r="B589" s="14"/>
      <c r="C589" s="14"/>
    </row>
    <row r="590">
      <c r="B590" s="14"/>
      <c r="C590" s="14"/>
    </row>
    <row r="591">
      <c r="B591" s="14"/>
      <c r="C591" s="14"/>
    </row>
    <row r="592">
      <c r="B592" s="14"/>
      <c r="C592" s="14"/>
    </row>
    <row r="593">
      <c r="B593" s="14"/>
      <c r="C593" s="14"/>
    </row>
    <row r="594">
      <c r="B594" s="14"/>
      <c r="C594" s="14"/>
    </row>
    <row r="595">
      <c r="B595" s="14"/>
      <c r="C595" s="14"/>
    </row>
    <row r="596">
      <c r="B596" s="14"/>
      <c r="C596" s="14"/>
    </row>
    <row r="597">
      <c r="B597" s="14"/>
      <c r="C597" s="14"/>
    </row>
    <row r="598">
      <c r="B598" s="14"/>
      <c r="C598" s="14"/>
    </row>
    <row r="599">
      <c r="B599" s="14"/>
      <c r="C599" s="14"/>
    </row>
    <row r="600">
      <c r="B600" s="14"/>
      <c r="C600" s="14"/>
    </row>
    <row r="601">
      <c r="B601" s="14"/>
      <c r="C601" s="14"/>
    </row>
    <row r="602">
      <c r="B602" s="14"/>
      <c r="C602" s="14"/>
    </row>
    <row r="603">
      <c r="B603" s="14"/>
      <c r="C603" s="14"/>
    </row>
    <row r="604">
      <c r="B604" s="14"/>
      <c r="C604" s="14"/>
    </row>
    <row r="605">
      <c r="B605" s="14"/>
      <c r="C605" s="14"/>
    </row>
    <row r="606">
      <c r="B606" s="14"/>
      <c r="C606" s="14"/>
    </row>
    <row r="607">
      <c r="B607" s="14"/>
      <c r="C607" s="14"/>
    </row>
    <row r="608">
      <c r="B608" s="14"/>
      <c r="C608" s="14"/>
    </row>
    <row r="609">
      <c r="B609" s="14"/>
      <c r="C609" s="14"/>
    </row>
    <row r="610">
      <c r="B610" s="14"/>
      <c r="C610" s="14"/>
    </row>
    <row r="611">
      <c r="B611" s="14"/>
      <c r="C611" s="14"/>
    </row>
    <row r="612">
      <c r="B612" s="14"/>
      <c r="C612" s="14"/>
    </row>
    <row r="613">
      <c r="B613" s="14"/>
      <c r="C613" s="14"/>
    </row>
    <row r="614">
      <c r="B614" s="14"/>
      <c r="C614" s="14"/>
    </row>
    <row r="615">
      <c r="B615" s="14"/>
      <c r="C615" s="14"/>
    </row>
    <row r="616">
      <c r="B616" s="14"/>
      <c r="C616" s="14"/>
    </row>
    <row r="617">
      <c r="B617" s="14"/>
      <c r="C617" s="14"/>
    </row>
    <row r="618">
      <c r="B618" s="14"/>
      <c r="C618" s="14"/>
    </row>
    <row r="619">
      <c r="B619" s="14"/>
      <c r="C619" s="14"/>
    </row>
    <row r="620">
      <c r="B620" s="14"/>
      <c r="C620" s="14"/>
    </row>
    <row r="621">
      <c r="B621" s="14"/>
      <c r="C621" s="14"/>
    </row>
    <row r="622">
      <c r="B622" s="14"/>
      <c r="C622" s="14"/>
    </row>
    <row r="623">
      <c r="B623" s="14"/>
      <c r="C623" s="14"/>
    </row>
    <row r="624">
      <c r="B624" s="14"/>
      <c r="C624" s="14"/>
    </row>
    <row r="625">
      <c r="B625" s="14"/>
      <c r="C625" s="14"/>
    </row>
    <row r="626">
      <c r="B626" s="14"/>
      <c r="C626" s="14"/>
    </row>
    <row r="627">
      <c r="B627" s="14"/>
      <c r="C627" s="14"/>
    </row>
    <row r="628">
      <c r="B628" s="14"/>
      <c r="C628" s="14"/>
    </row>
    <row r="629">
      <c r="B629" s="14"/>
      <c r="C629" s="14"/>
    </row>
    <row r="630">
      <c r="B630" s="14"/>
      <c r="C630" s="14"/>
    </row>
    <row r="631">
      <c r="B631" s="14"/>
      <c r="C631" s="14"/>
    </row>
    <row r="632">
      <c r="B632" s="14"/>
      <c r="C632" s="14"/>
    </row>
    <row r="633">
      <c r="B633" s="14"/>
      <c r="C633" s="14"/>
    </row>
    <row r="634">
      <c r="B634" s="14"/>
      <c r="C634" s="14"/>
    </row>
    <row r="635">
      <c r="B635" s="14"/>
      <c r="C635" s="14"/>
    </row>
    <row r="636">
      <c r="B636" s="14"/>
      <c r="C636" s="14"/>
    </row>
    <row r="637">
      <c r="B637" s="14"/>
      <c r="C637" s="14"/>
    </row>
    <row r="638">
      <c r="B638" s="14"/>
      <c r="C638" s="14"/>
    </row>
    <row r="639">
      <c r="B639" s="14"/>
      <c r="C639" s="14"/>
    </row>
    <row r="640">
      <c r="B640" s="14"/>
      <c r="C640" s="14"/>
    </row>
    <row r="641">
      <c r="B641" s="14"/>
      <c r="C641" s="14"/>
    </row>
    <row r="642">
      <c r="B642" s="14"/>
      <c r="C642" s="14"/>
    </row>
    <row r="643">
      <c r="B643" s="14"/>
      <c r="C643" s="14"/>
    </row>
    <row r="644">
      <c r="B644" s="14"/>
      <c r="C644" s="14"/>
    </row>
    <row r="645">
      <c r="B645" s="14"/>
      <c r="C645" s="14"/>
    </row>
    <row r="646">
      <c r="B646" s="14"/>
      <c r="C646" s="14"/>
    </row>
    <row r="647">
      <c r="B647" s="14"/>
      <c r="C647" s="14"/>
    </row>
    <row r="648">
      <c r="B648" s="14"/>
      <c r="C648" s="14"/>
    </row>
    <row r="649">
      <c r="B649" s="14"/>
      <c r="C649" s="14"/>
    </row>
    <row r="650">
      <c r="B650" s="14"/>
      <c r="C650" s="14"/>
    </row>
    <row r="651">
      <c r="B651" s="14"/>
      <c r="C651" s="14"/>
    </row>
    <row r="652">
      <c r="B652" s="14"/>
      <c r="C652" s="14"/>
    </row>
    <row r="653">
      <c r="B653" s="14"/>
      <c r="C653" s="14"/>
    </row>
    <row r="654">
      <c r="B654" s="14"/>
      <c r="C654" s="14"/>
    </row>
    <row r="655">
      <c r="B655" s="14"/>
      <c r="C655" s="14"/>
    </row>
    <row r="656">
      <c r="B656" s="14"/>
      <c r="C656" s="14"/>
    </row>
    <row r="657">
      <c r="B657" s="14"/>
      <c r="C657" s="14"/>
    </row>
    <row r="658">
      <c r="B658" s="14"/>
      <c r="C658" s="14"/>
    </row>
    <row r="659">
      <c r="B659" s="14"/>
      <c r="C659" s="14"/>
    </row>
    <row r="660">
      <c r="B660" s="14"/>
      <c r="C660" s="14"/>
    </row>
    <row r="661">
      <c r="B661" s="14"/>
      <c r="C661" s="14"/>
    </row>
    <row r="662">
      <c r="B662" s="14"/>
      <c r="C662" s="14"/>
    </row>
    <row r="663">
      <c r="B663" s="14"/>
      <c r="C663" s="14"/>
    </row>
    <row r="664">
      <c r="B664" s="14"/>
      <c r="C664" s="14"/>
    </row>
    <row r="665">
      <c r="B665" s="14"/>
      <c r="C665" s="14"/>
    </row>
    <row r="666">
      <c r="B666" s="14"/>
      <c r="C666" s="14"/>
    </row>
    <row r="667">
      <c r="B667" s="14"/>
      <c r="C667" s="14"/>
    </row>
    <row r="668">
      <c r="B668" s="14"/>
      <c r="C668" s="14"/>
    </row>
    <row r="669">
      <c r="B669" s="14"/>
      <c r="C669" s="14"/>
    </row>
    <row r="670">
      <c r="B670" s="14"/>
      <c r="C670" s="14"/>
    </row>
    <row r="671">
      <c r="B671" s="14"/>
      <c r="C671" s="14"/>
    </row>
    <row r="672">
      <c r="B672" s="14"/>
      <c r="C672" s="14"/>
    </row>
    <row r="673">
      <c r="B673" s="14"/>
      <c r="C673" s="14"/>
    </row>
    <row r="674">
      <c r="B674" s="14"/>
      <c r="C674" s="14"/>
    </row>
    <row r="675">
      <c r="B675" s="14"/>
      <c r="C675" s="14"/>
    </row>
    <row r="676">
      <c r="B676" s="14"/>
      <c r="C676" s="14"/>
    </row>
    <row r="677">
      <c r="B677" s="14"/>
      <c r="C677" s="14"/>
    </row>
    <row r="678">
      <c r="B678" s="14"/>
      <c r="C678" s="14"/>
    </row>
    <row r="679">
      <c r="B679" s="14"/>
      <c r="C679" s="14"/>
    </row>
    <row r="680">
      <c r="B680" s="14"/>
      <c r="C680" s="14"/>
    </row>
    <row r="681">
      <c r="B681" s="14"/>
      <c r="C681" s="14"/>
    </row>
    <row r="682">
      <c r="B682" s="14"/>
      <c r="C682" s="14"/>
    </row>
    <row r="683">
      <c r="B683" s="14"/>
      <c r="C683" s="14"/>
    </row>
    <row r="684">
      <c r="B684" s="14"/>
      <c r="C684" s="14"/>
    </row>
    <row r="685">
      <c r="B685" s="14"/>
      <c r="C685" s="14"/>
    </row>
    <row r="686">
      <c r="B686" s="14"/>
      <c r="C686" s="14"/>
    </row>
    <row r="687">
      <c r="B687" s="14"/>
      <c r="C687" s="14"/>
    </row>
    <row r="688">
      <c r="B688" s="14"/>
      <c r="C688" s="14"/>
    </row>
    <row r="689">
      <c r="B689" s="14"/>
      <c r="C689" s="14"/>
    </row>
    <row r="690">
      <c r="B690" s="14"/>
      <c r="C690" s="14"/>
    </row>
    <row r="691">
      <c r="B691" s="14"/>
      <c r="C691" s="14"/>
    </row>
    <row r="692">
      <c r="B692" s="14"/>
      <c r="C692" s="14"/>
    </row>
    <row r="693">
      <c r="B693" s="14"/>
      <c r="C693" s="14"/>
    </row>
    <row r="694">
      <c r="B694" s="14"/>
      <c r="C694" s="14"/>
    </row>
    <row r="695">
      <c r="B695" s="14"/>
      <c r="C695" s="14"/>
    </row>
    <row r="696">
      <c r="B696" s="14"/>
      <c r="C696" s="14"/>
    </row>
    <row r="697">
      <c r="B697" s="14"/>
      <c r="C697" s="14"/>
    </row>
    <row r="698">
      <c r="B698" s="14"/>
      <c r="C698" s="14"/>
    </row>
    <row r="699">
      <c r="B699" s="14"/>
      <c r="C699" s="14"/>
    </row>
    <row r="700">
      <c r="B700" s="14"/>
      <c r="C700" s="14"/>
    </row>
    <row r="701">
      <c r="B701" s="14"/>
      <c r="C701" s="14"/>
    </row>
    <row r="702">
      <c r="B702" s="14"/>
      <c r="C702" s="14"/>
    </row>
    <row r="703">
      <c r="B703" s="14"/>
      <c r="C703" s="14"/>
    </row>
    <row r="704">
      <c r="B704" s="14"/>
      <c r="C704" s="14"/>
    </row>
    <row r="705">
      <c r="B705" s="14"/>
      <c r="C705" s="14"/>
    </row>
    <row r="706">
      <c r="B706" s="14"/>
      <c r="C706" s="14"/>
    </row>
    <row r="707">
      <c r="B707" s="14"/>
      <c r="C707" s="14"/>
    </row>
    <row r="708">
      <c r="B708" s="14"/>
      <c r="C708" s="14"/>
    </row>
    <row r="709">
      <c r="B709" s="14"/>
      <c r="C709" s="14"/>
    </row>
    <row r="710">
      <c r="B710" s="14"/>
      <c r="C710" s="14"/>
    </row>
    <row r="711">
      <c r="B711" s="14"/>
      <c r="C711" s="14"/>
    </row>
    <row r="712">
      <c r="B712" s="14"/>
      <c r="C712" s="14"/>
    </row>
    <row r="713">
      <c r="B713" s="14"/>
      <c r="C713" s="14"/>
    </row>
    <row r="714">
      <c r="B714" s="14"/>
      <c r="C714" s="14"/>
    </row>
    <row r="715">
      <c r="B715" s="14"/>
      <c r="C715" s="14"/>
    </row>
    <row r="716">
      <c r="B716" s="14"/>
      <c r="C716" s="14"/>
    </row>
    <row r="717">
      <c r="B717" s="14"/>
      <c r="C717" s="14"/>
    </row>
    <row r="718">
      <c r="B718" s="14"/>
      <c r="C718" s="14"/>
    </row>
    <row r="719">
      <c r="B719" s="14"/>
      <c r="C719" s="14"/>
    </row>
    <row r="720">
      <c r="B720" s="14"/>
      <c r="C720" s="14"/>
    </row>
    <row r="721">
      <c r="B721" s="14"/>
      <c r="C721" s="14"/>
    </row>
    <row r="722">
      <c r="B722" s="14"/>
      <c r="C722" s="14"/>
    </row>
    <row r="723">
      <c r="B723" s="14"/>
      <c r="C723" s="14"/>
    </row>
    <row r="724">
      <c r="B724" s="14"/>
      <c r="C724" s="14"/>
    </row>
    <row r="725">
      <c r="B725" s="14"/>
      <c r="C725" s="14"/>
    </row>
    <row r="726">
      <c r="B726" s="14"/>
      <c r="C726" s="14"/>
    </row>
    <row r="727">
      <c r="B727" s="14"/>
      <c r="C727" s="14"/>
    </row>
    <row r="728">
      <c r="B728" s="14"/>
      <c r="C728" s="14"/>
    </row>
    <row r="729">
      <c r="B729" s="14"/>
      <c r="C729" s="14"/>
    </row>
    <row r="730">
      <c r="B730" s="14"/>
      <c r="C730" s="14"/>
    </row>
    <row r="731">
      <c r="B731" s="14"/>
      <c r="C731" s="14"/>
    </row>
    <row r="732">
      <c r="B732" s="14"/>
      <c r="C732" s="14"/>
    </row>
    <row r="733">
      <c r="B733" s="14"/>
      <c r="C733" s="14"/>
    </row>
    <row r="734">
      <c r="B734" s="14"/>
      <c r="C734" s="14"/>
    </row>
    <row r="735">
      <c r="B735" s="14"/>
      <c r="C735" s="14"/>
    </row>
    <row r="736">
      <c r="B736" s="14"/>
      <c r="C736" s="14"/>
    </row>
    <row r="737">
      <c r="B737" s="14"/>
      <c r="C737" s="14"/>
    </row>
    <row r="738">
      <c r="B738" s="14"/>
      <c r="C738" s="14"/>
    </row>
    <row r="739">
      <c r="B739" s="14"/>
      <c r="C739" s="14"/>
    </row>
    <row r="740">
      <c r="B740" s="14"/>
      <c r="C740" s="14"/>
    </row>
    <row r="741">
      <c r="B741" s="14"/>
      <c r="C741" s="14"/>
    </row>
    <row r="742">
      <c r="B742" s="14"/>
      <c r="C742" s="14"/>
    </row>
    <row r="743">
      <c r="B743" s="14"/>
      <c r="C743" s="14"/>
    </row>
    <row r="744">
      <c r="B744" s="14"/>
      <c r="C744" s="14"/>
    </row>
    <row r="745">
      <c r="B745" s="14"/>
      <c r="C745" s="14"/>
    </row>
    <row r="746">
      <c r="B746" s="14"/>
      <c r="C746" s="14"/>
    </row>
    <row r="747">
      <c r="B747" s="14"/>
      <c r="C747" s="14"/>
    </row>
    <row r="748">
      <c r="B748" s="14"/>
      <c r="C748" s="14"/>
    </row>
    <row r="749">
      <c r="B749" s="14"/>
      <c r="C749" s="14"/>
    </row>
    <row r="750">
      <c r="B750" s="14"/>
      <c r="C750" s="14"/>
    </row>
    <row r="751">
      <c r="B751" s="14"/>
      <c r="C751" s="14"/>
    </row>
    <row r="752">
      <c r="B752" s="14"/>
      <c r="C752" s="14"/>
    </row>
    <row r="753">
      <c r="B753" s="14"/>
      <c r="C753" s="14"/>
    </row>
    <row r="754">
      <c r="B754" s="14"/>
      <c r="C754" s="14"/>
    </row>
    <row r="755">
      <c r="B755" s="14"/>
      <c r="C755" s="14"/>
    </row>
    <row r="756">
      <c r="B756" s="14"/>
      <c r="C756" s="14"/>
    </row>
    <row r="757">
      <c r="B757" s="14"/>
      <c r="C757" s="14"/>
    </row>
    <row r="758">
      <c r="B758" s="14"/>
      <c r="C758" s="14"/>
    </row>
    <row r="759">
      <c r="B759" s="14"/>
      <c r="C759" s="14"/>
    </row>
    <row r="760">
      <c r="B760" s="14"/>
      <c r="C760" s="14"/>
    </row>
    <row r="761">
      <c r="B761" s="14"/>
      <c r="C761" s="14"/>
    </row>
    <row r="762">
      <c r="B762" s="14"/>
      <c r="C762" s="14"/>
    </row>
    <row r="763">
      <c r="B763" s="14"/>
      <c r="C763" s="14"/>
    </row>
    <row r="764">
      <c r="B764" s="14"/>
      <c r="C764" s="14"/>
    </row>
    <row r="765">
      <c r="B765" s="14"/>
      <c r="C765" s="14"/>
    </row>
    <row r="766">
      <c r="B766" s="14"/>
      <c r="C766" s="14"/>
    </row>
    <row r="767">
      <c r="B767" s="14"/>
      <c r="C767" s="14"/>
    </row>
    <row r="768">
      <c r="B768" s="14"/>
      <c r="C768" s="14"/>
    </row>
    <row r="769">
      <c r="B769" s="14"/>
      <c r="C769" s="14"/>
    </row>
    <row r="770">
      <c r="B770" s="14"/>
      <c r="C770" s="14"/>
    </row>
    <row r="771">
      <c r="B771" s="14"/>
      <c r="C771" s="14"/>
    </row>
    <row r="772">
      <c r="B772" s="14"/>
      <c r="C772" s="14"/>
    </row>
    <row r="773">
      <c r="B773" s="14"/>
      <c r="C773" s="14"/>
    </row>
    <row r="774">
      <c r="B774" s="14"/>
      <c r="C774" s="14"/>
    </row>
    <row r="775">
      <c r="B775" s="14"/>
      <c r="C775" s="14"/>
    </row>
    <row r="776">
      <c r="B776" s="14"/>
      <c r="C776" s="14"/>
    </row>
    <row r="777">
      <c r="B777" s="14"/>
      <c r="C777" s="14"/>
    </row>
    <row r="778">
      <c r="B778" s="14"/>
      <c r="C778" s="14"/>
    </row>
    <row r="779">
      <c r="B779" s="14"/>
      <c r="C779" s="14"/>
    </row>
    <row r="780">
      <c r="B780" s="14"/>
      <c r="C780" s="14"/>
    </row>
    <row r="781">
      <c r="B781" s="14"/>
      <c r="C781" s="14"/>
    </row>
    <row r="782">
      <c r="B782" s="14"/>
      <c r="C782" s="14"/>
    </row>
    <row r="783">
      <c r="B783" s="14"/>
      <c r="C783" s="14"/>
    </row>
    <row r="784">
      <c r="B784" s="14"/>
      <c r="C784" s="14"/>
    </row>
    <row r="785">
      <c r="B785" s="14"/>
      <c r="C785" s="14"/>
    </row>
    <row r="786">
      <c r="B786" s="14"/>
      <c r="C786" s="14"/>
    </row>
    <row r="787">
      <c r="B787" s="14"/>
      <c r="C787" s="14"/>
    </row>
    <row r="788">
      <c r="B788" s="14"/>
      <c r="C788" s="14"/>
    </row>
    <row r="789">
      <c r="B789" s="14"/>
      <c r="C789" s="14"/>
    </row>
    <row r="790">
      <c r="B790" s="14"/>
      <c r="C790" s="14"/>
    </row>
    <row r="791">
      <c r="B791" s="14"/>
      <c r="C791" s="14"/>
    </row>
    <row r="792">
      <c r="B792" s="14"/>
      <c r="C792" s="14"/>
    </row>
    <row r="793">
      <c r="B793" s="14"/>
      <c r="C793" s="14"/>
    </row>
    <row r="794">
      <c r="B794" s="14"/>
      <c r="C794" s="14"/>
    </row>
    <row r="795">
      <c r="B795" s="14"/>
      <c r="C795" s="14"/>
    </row>
    <row r="796">
      <c r="B796" s="14"/>
      <c r="C796" s="14"/>
    </row>
    <row r="797">
      <c r="B797" s="14"/>
      <c r="C797" s="14"/>
    </row>
    <row r="798">
      <c r="B798" s="14"/>
      <c r="C798" s="14"/>
    </row>
    <row r="799">
      <c r="B799" s="14"/>
      <c r="C799" s="14"/>
    </row>
    <row r="800">
      <c r="B800" s="14"/>
      <c r="C800" s="14"/>
    </row>
    <row r="801">
      <c r="B801" s="14"/>
      <c r="C801" s="14"/>
    </row>
    <row r="802">
      <c r="B802" s="14"/>
      <c r="C802" s="14"/>
    </row>
    <row r="803">
      <c r="B803" s="14"/>
      <c r="C803" s="14"/>
    </row>
    <row r="804">
      <c r="B804" s="14"/>
      <c r="C804" s="14"/>
    </row>
    <row r="805">
      <c r="B805" s="14"/>
      <c r="C805" s="14"/>
    </row>
    <row r="806">
      <c r="B806" s="14"/>
      <c r="C806" s="14"/>
    </row>
    <row r="807">
      <c r="B807" s="14"/>
      <c r="C807" s="14"/>
    </row>
    <row r="808">
      <c r="B808" s="14"/>
      <c r="C808" s="14"/>
    </row>
    <row r="809">
      <c r="B809" s="14"/>
      <c r="C809" s="14"/>
    </row>
    <row r="810">
      <c r="B810" s="14"/>
      <c r="C810" s="14"/>
    </row>
    <row r="811">
      <c r="B811" s="14"/>
      <c r="C811" s="14"/>
    </row>
    <row r="812">
      <c r="B812" s="14"/>
      <c r="C812" s="14"/>
    </row>
    <row r="813">
      <c r="B813" s="14"/>
      <c r="C813" s="14"/>
    </row>
    <row r="814">
      <c r="B814" s="14"/>
      <c r="C814" s="14"/>
    </row>
    <row r="815">
      <c r="B815" s="14"/>
      <c r="C815" s="14"/>
    </row>
    <row r="816">
      <c r="B816" s="14"/>
      <c r="C816" s="14"/>
    </row>
    <row r="817">
      <c r="B817" s="14"/>
      <c r="C817" s="14"/>
    </row>
    <row r="818">
      <c r="B818" s="14"/>
      <c r="C818" s="14"/>
    </row>
    <row r="819">
      <c r="B819" s="14"/>
      <c r="C819" s="14"/>
    </row>
    <row r="820">
      <c r="B820" s="14"/>
      <c r="C820" s="14"/>
    </row>
    <row r="821">
      <c r="B821" s="14"/>
      <c r="C821" s="14"/>
    </row>
    <row r="822">
      <c r="B822" s="14"/>
      <c r="C822" s="14"/>
    </row>
    <row r="823">
      <c r="B823" s="14"/>
      <c r="C823" s="14"/>
    </row>
    <row r="824">
      <c r="B824" s="14"/>
      <c r="C824" s="14"/>
    </row>
    <row r="825">
      <c r="B825" s="14"/>
      <c r="C825" s="14"/>
    </row>
    <row r="826">
      <c r="B826" s="14"/>
      <c r="C826" s="14"/>
    </row>
    <row r="827">
      <c r="B827" s="14"/>
      <c r="C827" s="14"/>
    </row>
    <row r="828">
      <c r="B828" s="14"/>
      <c r="C828" s="14"/>
    </row>
    <row r="829">
      <c r="B829" s="14"/>
      <c r="C829" s="14"/>
    </row>
    <row r="830">
      <c r="B830" s="14"/>
      <c r="C830" s="14"/>
    </row>
    <row r="831">
      <c r="B831" s="14"/>
      <c r="C831" s="14"/>
    </row>
    <row r="832">
      <c r="B832" s="14"/>
      <c r="C832" s="14"/>
    </row>
    <row r="833">
      <c r="B833" s="14"/>
      <c r="C833" s="14"/>
    </row>
    <row r="834">
      <c r="B834" s="14"/>
      <c r="C834" s="14"/>
    </row>
    <row r="835">
      <c r="B835" s="14"/>
      <c r="C835" s="14"/>
    </row>
    <row r="836">
      <c r="B836" s="14"/>
      <c r="C836" s="14"/>
    </row>
    <row r="837">
      <c r="B837" s="14"/>
      <c r="C837" s="14"/>
    </row>
    <row r="838">
      <c r="B838" s="14"/>
      <c r="C838" s="14"/>
    </row>
    <row r="839">
      <c r="B839" s="14"/>
      <c r="C839" s="14"/>
    </row>
    <row r="840">
      <c r="B840" s="14"/>
      <c r="C840" s="14"/>
    </row>
    <row r="841">
      <c r="B841" s="14"/>
      <c r="C841" s="14"/>
    </row>
    <row r="842">
      <c r="B842" s="14"/>
      <c r="C842" s="14"/>
    </row>
    <row r="843">
      <c r="B843" s="14"/>
      <c r="C843" s="14"/>
    </row>
    <row r="844">
      <c r="B844" s="14"/>
      <c r="C844" s="14"/>
    </row>
    <row r="845">
      <c r="B845" s="14"/>
      <c r="C845" s="14"/>
    </row>
    <row r="846">
      <c r="B846" s="14"/>
      <c r="C846" s="14"/>
    </row>
    <row r="847">
      <c r="B847" s="14"/>
      <c r="C847" s="14"/>
    </row>
    <row r="848">
      <c r="B848" s="14"/>
      <c r="C848" s="14"/>
    </row>
    <row r="849">
      <c r="B849" s="14"/>
      <c r="C849" s="14"/>
    </row>
    <row r="850">
      <c r="B850" s="14"/>
      <c r="C850" s="14"/>
    </row>
    <row r="851">
      <c r="B851" s="14"/>
      <c r="C851" s="14"/>
    </row>
    <row r="852">
      <c r="B852" s="14"/>
      <c r="C852" s="14"/>
    </row>
    <row r="853">
      <c r="B853" s="14"/>
      <c r="C853" s="14"/>
    </row>
    <row r="854">
      <c r="B854" s="14"/>
      <c r="C854" s="14"/>
    </row>
    <row r="855">
      <c r="B855" s="14"/>
      <c r="C855" s="14"/>
    </row>
    <row r="856">
      <c r="B856" s="14"/>
      <c r="C856" s="14"/>
    </row>
    <row r="857">
      <c r="B857" s="14"/>
      <c r="C857" s="14"/>
    </row>
    <row r="858">
      <c r="B858" s="14"/>
      <c r="C858" s="14"/>
    </row>
    <row r="859">
      <c r="B859" s="14"/>
      <c r="C859" s="14"/>
    </row>
    <row r="860">
      <c r="B860" s="14"/>
      <c r="C860" s="14"/>
    </row>
    <row r="861">
      <c r="B861" s="14"/>
      <c r="C861" s="14"/>
    </row>
    <row r="862">
      <c r="B862" s="14"/>
      <c r="C862" s="14"/>
    </row>
    <row r="863">
      <c r="B863" s="14"/>
      <c r="C863" s="14"/>
    </row>
    <row r="864">
      <c r="B864" s="14"/>
      <c r="C864" s="14"/>
    </row>
    <row r="865">
      <c r="B865" s="14"/>
      <c r="C865" s="14"/>
    </row>
    <row r="866">
      <c r="B866" s="14"/>
      <c r="C866" s="14"/>
    </row>
    <row r="867">
      <c r="B867" s="14"/>
      <c r="C867" s="14"/>
    </row>
    <row r="868">
      <c r="B868" s="14"/>
      <c r="C868" s="14"/>
    </row>
    <row r="869">
      <c r="B869" s="14"/>
      <c r="C869" s="14"/>
    </row>
    <row r="870">
      <c r="B870" s="14"/>
      <c r="C870" s="14"/>
    </row>
    <row r="871">
      <c r="B871" s="14"/>
      <c r="C871" s="14"/>
    </row>
    <row r="872">
      <c r="B872" s="14"/>
      <c r="C872" s="14"/>
    </row>
    <row r="873">
      <c r="B873" s="14"/>
      <c r="C873" s="14"/>
    </row>
    <row r="874">
      <c r="B874" s="14"/>
      <c r="C874" s="14"/>
    </row>
    <row r="875">
      <c r="B875" s="14"/>
      <c r="C875" s="14"/>
    </row>
    <row r="876">
      <c r="B876" s="14"/>
      <c r="C876" s="14"/>
    </row>
    <row r="877">
      <c r="B877" s="14"/>
      <c r="C877" s="14"/>
    </row>
    <row r="878">
      <c r="B878" s="14"/>
      <c r="C878" s="14"/>
    </row>
    <row r="879">
      <c r="B879" s="14"/>
      <c r="C879" s="14"/>
    </row>
    <row r="880">
      <c r="B880" s="14"/>
      <c r="C880" s="14"/>
    </row>
    <row r="881">
      <c r="B881" s="14"/>
      <c r="C881" s="14"/>
    </row>
    <row r="882">
      <c r="B882" s="14"/>
      <c r="C882" s="14"/>
    </row>
    <row r="883">
      <c r="B883" s="14"/>
      <c r="C883" s="14"/>
    </row>
    <row r="884">
      <c r="B884" s="14"/>
      <c r="C884" s="14"/>
    </row>
    <row r="885">
      <c r="B885" s="14"/>
      <c r="C885" s="14"/>
    </row>
    <row r="886">
      <c r="B886" s="14"/>
      <c r="C886" s="14"/>
    </row>
    <row r="887">
      <c r="B887" s="14"/>
      <c r="C887" s="14"/>
    </row>
    <row r="888">
      <c r="B888" s="14"/>
      <c r="C888" s="14"/>
    </row>
    <row r="889">
      <c r="B889" s="14"/>
      <c r="C889" s="14"/>
    </row>
    <row r="890">
      <c r="B890" s="14"/>
      <c r="C890" s="14"/>
    </row>
    <row r="891">
      <c r="B891" s="14"/>
      <c r="C891" s="14"/>
    </row>
    <row r="892">
      <c r="B892" s="14"/>
      <c r="C892" s="14"/>
    </row>
    <row r="893">
      <c r="B893" s="14"/>
      <c r="C893" s="14"/>
    </row>
    <row r="894">
      <c r="B894" s="14"/>
      <c r="C894" s="14"/>
    </row>
    <row r="895">
      <c r="B895" s="14"/>
      <c r="C895" s="14"/>
    </row>
    <row r="896">
      <c r="B896" s="14"/>
      <c r="C896" s="14"/>
    </row>
    <row r="897">
      <c r="B897" s="14"/>
      <c r="C897" s="14"/>
    </row>
    <row r="898">
      <c r="B898" s="14"/>
      <c r="C898" s="14"/>
    </row>
    <row r="899">
      <c r="B899" s="14"/>
      <c r="C899" s="14"/>
    </row>
    <row r="900">
      <c r="B900" s="14"/>
      <c r="C900" s="14"/>
    </row>
    <row r="901">
      <c r="B901" s="14"/>
      <c r="C901" s="14"/>
    </row>
    <row r="902">
      <c r="B902" s="14"/>
      <c r="C902" s="14"/>
    </row>
    <row r="903">
      <c r="B903" s="14"/>
      <c r="C903" s="14"/>
    </row>
    <row r="904">
      <c r="B904" s="14"/>
      <c r="C904" s="14"/>
    </row>
    <row r="905">
      <c r="B905" s="14"/>
      <c r="C905" s="14"/>
    </row>
    <row r="906">
      <c r="B906" s="14"/>
      <c r="C906" s="14"/>
    </row>
    <row r="907">
      <c r="B907" s="14"/>
      <c r="C907" s="14"/>
    </row>
    <row r="908">
      <c r="B908" s="14"/>
      <c r="C908" s="14"/>
    </row>
    <row r="909">
      <c r="B909" s="14"/>
      <c r="C909" s="14"/>
    </row>
    <row r="910">
      <c r="B910" s="14"/>
      <c r="C910" s="14"/>
    </row>
    <row r="911">
      <c r="B911" s="14"/>
      <c r="C911" s="14"/>
    </row>
    <row r="912">
      <c r="B912" s="14"/>
      <c r="C912" s="14"/>
    </row>
    <row r="913">
      <c r="B913" s="14"/>
      <c r="C913" s="14"/>
    </row>
    <row r="914">
      <c r="B914" s="14"/>
      <c r="C914" s="14"/>
    </row>
    <row r="915">
      <c r="B915" s="14"/>
      <c r="C915" s="14"/>
    </row>
    <row r="916">
      <c r="B916" s="14"/>
      <c r="C916" s="14"/>
    </row>
    <row r="917">
      <c r="B917" s="14"/>
      <c r="C917" s="14"/>
    </row>
    <row r="918">
      <c r="B918" s="14"/>
      <c r="C918" s="14"/>
    </row>
    <row r="919">
      <c r="B919" s="14"/>
      <c r="C919" s="14"/>
    </row>
    <row r="920">
      <c r="B920" s="14"/>
      <c r="C920" s="14"/>
    </row>
    <row r="921">
      <c r="B921" s="14"/>
      <c r="C921" s="14"/>
    </row>
    <row r="922">
      <c r="B922" s="14"/>
      <c r="C922" s="14"/>
    </row>
    <row r="923">
      <c r="B923" s="14"/>
      <c r="C923" s="14"/>
    </row>
    <row r="924">
      <c r="B924" s="14"/>
      <c r="C924" s="14"/>
    </row>
    <row r="925">
      <c r="B925" s="14"/>
      <c r="C925" s="14"/>
    </row>
    <row r="926">
      <c r="B926" s="14"/>
      <c r="C926" s="14"/>
    </row>
    <row r="927">
      <c r="B927" s="14"/>
      <c r="C927" s="14"/>
    </row>
    <row r="928">
      <c r="B928" s="14"/>
      <c r="C928" s="14"/>
    </row>
    <row r="929">
      <c r="B929" s="14"/>
      <c r="C929" s="14"/>
    </row>
    <row r="930">
      <c r="B930" s="14"/>
      <c r="C930" s="14"/>
    </row>
    <row r="931">
      <c r="B931" s="14"/>
      <c r="C931" s="14"/>
    </row>
    <row r="932">
      <c r="B932" s="14"/>
      <c r="C932" s="14"/>
    </row>
    <row r="933">
      <c r="B933" s="14"/>
      <c r="C933" s="14"/>
    </row>
    <row r="934">
      <c r="B934" s="14"/>
      <c r="C934" s="14"/>
    </row>
    <row r="935">
      <c r="B935" s="14"/>
      <c r="C935" s="14"/>
    </row>
    <row r="936">
      <c r="B936" s="14"/>
      <c r="C936" s="14"/>
    </row>
    <row r="937">
      <c r="B937" s="14"/>
      <c r="C937" s="14"/>
    </row>
    <row r="938">
      <c r="B938" s="14"/>
      <c r="C938" s="14"/>
    </row>
    <row r="939">
      <c r="B939" s="14"/>
      <c r="C939" s="14"/>
    </row>
    <row r="940">
      <c r="B940" s="14"/>
      <c r="C940" s="14"/>
    </row>
    <row r="941">
      <c r="B941" s="14"/>
      <c r="C941" s="14"/>
    </row>
    <row r="942">
      <c r="B942" s="14"/>
      <c r="C942" s="14"/>
    </row>
    <row r="943">
      <c r="B943" s="14"/>
      <c r="C943" s="14"/>
    </row>
    <row r="944">
      <c r="B944" s="14"/>
      <c r="C944" s="14"/>
    </row>
    <row r="945">
      <c r="B945" s="14"/>
      <c r="C945" s="14"/>
    </row>
    <row r="946">
      <c r="B946" s="14"/>
      <c r="C946" s="14"/>
    </row>
    <row r="947">
      <c r="B947" s="14"/>
      <c r="C947" s="14"/>
    </row>
    <row r="948">
      <c r="B948" s="14"/>
      <c r="C948" s="14"/>
    </row>
    <row r="949">
      <c r="B949" s="14"/>
      <c r="C949" s="14"/>
    </row>
    <row r="950">
      <c r="B950" s="14"/>
      <c r="C950" s="14"/>
    </row>
    <row r="951">
      <c r="B951" s="14"/>
      <c r="C951" s="14"/>
    </row>
    <row r="952">
      <c r="B952" s="14"/>
      <c r="C952" s="14"/>
    </row>
    <row r="953">
      <c r="B953" s="14"/>
      <c r="C953" s="14"/>
    </row>
    <row r="954">
      <c r="B954" s="14"/>
      <c r="C954" s="14"/>
    </row>
    <row r="955">
      <c r="B955" s="14"/>
      <c r="C955" s="14"/>
    </row>
    <row r="956">
      <c r="B956" s="14"/>
      <c r="C956" s="14"/>
    </row>
    <row r="957">
      <c r="B957" s="14"/>
      <c r="C957" s="14"/>
    </row>
    <row r="958">
      <c r="B958" s="14"/>
      <c r="C958" s="14"/>
    </row>
    <row r="959">
      <c r="B959" s="14"/>
      <c r="C959" s="14"/>
    </row>
    <row r="960">
      <c r="B960" s="14"/>
      <c r="C960" s="14"/>
    </row>
    <row r="961">
      <c r="B961" s="14"/>
      <c r="C961" s="14"/>
    </row>
    <row r="962">
      <c r="B962" s="14"/>
      <c r="C962" s="14"/>
    </row>
    <row r="963">
      <c r="B963" s="14"/>
      <c r="C963" s="14"/>
    </row>
    <row r="964">
      <c r="B964" s="14"/>
      <c r="C964" s="14"/>
    </row>
    <row r="965">
      <c r="B965" s="14"/>
      <c r="C965" s="14"/>
    </row>
    <row r="966">
      <c r="B966" s="14"/>
      <c r="C966" s="14"/>
    </row>
    <row r="967">
      <c r="B967" s="14"/>
      <c r="C967" s="14"/>
    </row>
    <row r="968">
      <c r="B968" s="14"/>
      <c r="C968" s="14"/>
    </row>
    <row r="969">
      <c r="B969" s="14"/>
      <c r="C969" s="14"/>
    </row>
    <row r="970">
      <c r="B970" s="14"/>
      <c r="C970" s="14"/>
    </row>
    <row r="971">
      <c r="B971" s="14"/>
      <c r="C971" s="14"/>
    </row>
    <row r="972">
      <c r="B972" s="14"/>
      <c r="C972" s="14"/>
    </row>
    <row r="973">
      <c r="B973" s="14"/>
      <c r="C973" s="14"/>
    </row>
    <row r="974">
      <c r="B974" s="14"/>
      <c r="C974" s="14"/>
    </row>
    <row r="975">
      <c r="B975" s="14"/>
      <c r="C975" s="14"/>
    </row>
    <row r="976">
      <c r="B976" s="14"/>
      <c r="C976" s="14"/>
    </row>
    <row r="977">
      <c r="B977" s="14"/>
      <c r="C977" s="14"/>
    </row>
    <row r="978">
      <c r="B978" s="14"/>
      <c r="C978" s="14"/>
    </row>
    <row r="979">
      <c r="B979" s="14"/>
      <c r="C979" s="14"/>
    </row>
    <row r="980">
      <c r="B980" s="14"/>
      <c r="C980" s="14"/>
    </row>
    <row r="981">
      <c r="B981" s="14"/>
      <c r="C981" s="14"/>
    </row>
    <row r="982">
      <c r="B982" s="14"/>
      <c r="C982" s="14"/>
    </row>
    <row r="983">
      <c r="B983" s="14"/>
      <c r="C983" s="14"/>
    </row>
    <row r="984">
      <c r="B984" s="14"/>
      <c r="C984" s="14"/>
    </row>
    <row r="985">
      <c r="B985" s="14"/>
      <c r="C985" s="14"/>
    </row>
    <row r="986">
      <c r="B986" s="14"/>
      <c r="C986" s="14"/>
    </row>
    <row r="987">
      <c r="B987" s="14"/>
      <c r="C987" s="14"/>
    </row>
    <row r="988">
      <c r="B988" s="14"/>
      <c r="C988" s="14"/>
    </row>
    <row r="989">
      <c r="B989" s="14"/>
      <c r="C989" s="14"/>
    </row>
    <row r="990">
      <c r="B990" s="14"/>
      <c r="C990" s="14"/>
    </row>
    <row r="991">
      <c r="B991" s="14"/>
      <c r="C991" s="14"/>
    </row>
    <row r="992">
      <c r="B992" s="14"/>
      <c r="C992" s="14"/>
    </row>
    <row r="993">
      <c r="B993" s="14"/>
      <c r="C993" s="14"/>
    </row>
    <row r="994">
      <c r="B994" s="14"/>
      <c r="C994" s="14"/>
    </row>
    <row r="995">
      <c r="B995" s="14"/>
      <c r="C995" s="14"/>
    </row>
    <row r="996">
      <c r="B996" s="14"/>
      <c r="C996" s="14"/>
    </row>
    <row r="997">
      <c r="B997" s="14"/>
      <c r="C997" s="14"/>
    </row>
    <row r="998">
      <c r="B998" s="14"/>
      <c r="C998" s="14"/>
    </row>
    <row r="999">
      <c r="B999" s="14"/>
      <c r="C999" s="14"/>
    </row>
    <row r="1000">
      <c r="B1000" s="14"/>
      <c r="C1000" s="14"/>
    </row>
    <row r="1001">
      <c r="B1001" s="14"/>
      <c r="C1001" s="14"/>
    </row>
    <row r="1002">
      <c r="B1002" s="14"/>
      <c r="C1002" s="14"/>
    </row>
    <row r="1003">
      <c r="B1003" s="14"/>
      <c r="C1003" s="14"/>
    </row>
    <row r="1004">
      <c r="B1004" s="14"/>
      <c r="C1004" s="14"/>
    </row>
    <row r="1005">
      <c r="B1005" s="14"/>
      <c r="C1005" s="14"/>
    </row>
    <row r="1006">
      <c r="B1006" s="14"/>
      <c r="C1006" s="14"/>
    </row>
    <row r="1007">
      <c r="B1007" s="14"/>
      <c r="C1007" s="14"/>
    </row>
    <row r="1008">
      <c r="B1008" s="14"/>
      <c r="C1008" s="14"/>
    </row>
    <row r="1009">
      <c r="B1009" s="14"/>
      <c r="C1009" s="14"/>
    </row>
    <row r="1010">
      <c r="B1010" s="14"/>
      <c r="C1010" s="14"/>
    </row>
    <row r="1011">
      <c r="B1011" s="14"/>
      <c r="C1011" s="14"/>
    </row>
    <row r="1012">
      <c r="B1012" s="14"/>
      <c r="C1012" s="14"/>
    </row>
    <row r="1013">
      <c r="B1013" s="14"/>
      <c r="C1013" s="14"/>
    </row>
    <row r="1014">
      <c r="B1014" s="14"/>
      <c r="C1014" s="14"/>
    </row>
    <row r="1015">
      <c r="B1015" s="14"/>
      <c r="C1015" s="14"/>
    </row>
    <row r="1016">
      <c r="B1016" s="14"/>
      <c r="C1016" s="14"/>
    </row>
    <row r="1017">
      <c r="B1017" s="14"/>
      <c r="C1017" s="14"/>
    </row>
    <row r="1018">
      <c r="B1018" s="14"/>
      <c r="C1018" s="14"/>
    </row>
    <row r="1019">
      <c r="B1019" s="14"/>
      <c r="C1019" s="14"/>
    </row>
    <row r="1020">
      <c r="B1020" s="14"/>
      <c r="C1020" s="14"/>
    </row>
    <row r="1021">
      <c r="B1021" s="14"/>
      <c r="C1021" s="14"/>
    </row>
    <row r="1022">
      <c r="B1022" s="14"/>
      <c r="C1022" s="14"/>
    </row>
    <row r="1023">
      <c r="B1023" s="14"/>
      <c r="C1023" s="14"/>
    </row>
    <row r="1024">
      <c r="B1024" s="14"/>
      <c r="C1024" s="14"/>
    </row>
    <row r="1025">
      <c r="B1025" s="14"/>
      <c r="C1025" s="14"/>
    </row>
    <row r="1026">
      <c r="B1026" s="14"/>
      <c r="C1026" s="14"/>
    </row>
    <row r="1027">
      <c r="B1027" s="14"/>
      <c r="C1027" s="14"/>
    </row>
    <row r="1028">
      <c r="B1028" s="14"/>
      <c r="C1028" s="14"/>
    </row>
    <row r="1029">
      <c r="B1029" s="14"/>
      <c r="C1029" s="14"/>
    </row>
    <row r="1030">
      <c r="B1030" s="14"/>
      <c r="C1030" s="14"/>
    </row>
    <row r="1031">
      <c r="B1031" s="14"/>
      <c r="C1031" s="14"/>
    </row>
    <row r="1032">
      <c r="B1032" s="14"/>
      <c r="C1032" s="14"/>
    </row>
    <row r="1033">
      <c r="B1033" s="14"/>
      <c r="C1033" s="14"/>
    </row>
    <row r="1034">
      <c r="B1034" s="14"/>
      <c r="C1034" s="14"/>
    </row>
    <row r="1035">
      <c r="B1035" s="14"/>
      <c r="C1035" s="14"/>
    </row>
    <row r="1036">
      <c r="B1036" s="14"/>
      <c r="C1036" s="14"/>
    </row>
    <row r="1037">
      <c r="B1037" s="14"/>
      <c r="C1037" s="14"/>
    </row>
    <row r="1038">
      <c r="B1038" s="14"/>
      <c r="C1038" s="14"/>
    </row>
    <row r="1039">
      <c r="B1039" s="14"/>
      <c r="C1039" s="14"/>
    </row>
    <row r="1040">
      <c r="B1040" s="14"/>
      <c r="C1040" s="14"/>
    </row>
    <row r="1041">
      <c r="B1041" s="14"/>
      <c r="C1041" s="14"/>
    </row>
    <row r="1042">
      <c r="B1042" s="14"/>
      <c r="C1042" s="14"/>
    </row>
    <row r="1043">
      <c r="B1043" s="14"/>
      <c r="C1043" s="14"/>
    </row>
    <row r="1044">
      <c r="B1044" s="14"/>
      <c r="C1044" s="14"/>
    </row>
    <row r="1045">
      <c r="B1045" s="14"/>
      <c r="C1045" s="14"/>
    </row>
    <row r="1046">
      <c r="B1046" s="14"/>
      <c r="C1046" s="14"/>
    </row>
    <row r="1047">
      <c r="B1047" s="14"/>
      <c r="C1047" s="14"/>
    </row>
    <row r="1048">
      <c r="B1048" s="14"/>
      <c r="C1048" s="14"/>
    </row>
    <row r="1049">
      <c r="B1049" s="14"/>
      <c r="C1049" s="14"/>
    </row>
    <row r="1050">
      <c r="B1050" s="14"/>
      <c r="C1050" s="14"/>
    </row>
    <row r="1051">
      <c r="B1051" s="14"/>
      <c r="C1051" s="14"/>
    </row>
    <row r="1052">
      <c r="B1052" s="14"/>
      <c r="C1052" s="14"/>
    </row>
    <row r="1053">
      <c r="B1053" s="14"/>
      <c r="C1053" s="14"/>
    </row>
    <row r="1054">
      <c r="B1054" s="14"/>
      <c r="C1054" s="14"/>
    </row>
    <row r="1055">
      <c r="B1055" s="14"/>
      <c r="C1055" s="14"/>
    </row>
    <row r="1056">
      <c r="B1056" s="14"/>
      <c r="C1056" s="14"/>
    </row>
    <row r="1057">
      <c r="B1057" s="14"/>
      <c r="C1057" s="14"/>
    </row>
    <row r="1058">
      <c r="B1058" s="14"/>
      <c r="C1058" s="14"/>
    </row>
    <row r="1059">
      <c r="B1059" s="14"/>
      <c r="C1059" s="14"/>
    </row>
    <row r="1060">
      <c r="B1060" s="14"/>
      <c r="C1060" s="14"/>
    </row>
    <row r="1061">
      <c r="B1061" s="14"/>
      <c r="C1061" s="14"/>
    </row>
    <row r="1062">
      <c r="B1062" s="14"/>
      <c r="C1062" s="14"/>
    </row>
    <row r="1063">
      <c r="B1063" s="14"/>
      <c r="C1063" s="14"/>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47.63"/>
  </cols>
  <sheetData>
    <row r="1">
      <c r="A1" s="7" t="s">
        <v>309</v>
      </c>
      <c r="B1" s="7" t="s">
        <v>310</v>
      </c>
      <c r="C1" s="7" t="s">
        <v>310</v>
      </c>
      <c r="D1" s="7" t="s">
        <v>310</v>
      </c>
      <c r="E1" s="7" t="s">
        <v>311</v>
      </c>
      <c r="F1" s="7" t="s">
        <v>311</v>
      </c>
      <c r="G1" s="7" t="s">
        <v>311</v>
      </c>
      <c r="H1" s="7" t="s">
        <v>312</v>
      </c>
      <c r="I1" s="7" t="s">
        <v>312</v>
      </c>
      <c r="J1" s="7" t="s">
        <v>312</v>
      </c>
      <c r="K1" s="7" t="s">
        <v>313</v>
      </c>
      <c r="L1" s="7" t="s">
        <v>313</v>
      </c>
      <c r="M1" s="7" t="s">
        <v>313</v>
      </c>
    </row>
    <row r="2">
      <c r="A2" s="7" t="s">
        <v>11</v>
      </c>
      <c r="B2" s="7">
        <v>2022.0</v>
      </c>
      <c r="C2" s="7">
        <v>2021.0</v>
      </c>
      <c r="D2" s="7">
        <v>2020.0</v>
      </c>
      <c r="E2" s="7">
        <v>2022.0</v>
      </c>
      <c r="F2" s="7">
        <v>2021.0</v>
      </c>
      <c r="G2" s="7">
        <v>2020.0</v>
      </c>
      <c r="H2" s="7">
        <v>2022.0</v>
      </c>
      <c r="I2" s="7">
        <v>2021.0</v>
      </c>
      <c r="J2" s="7">
        <v>2020.0</v>
      </c>
      <c r="K2" s="7">
        <v>2022.0</v>
      </c>
      <c r="L2" s="7">
        <v>2021.0</v>
      </c>
      <c r="M2" s="7">
        <v>2020.0</v>
      </c>
    </row>
    <row r="3">
      <c r="A3" s="7" t="s">
        <v>123</v>
      </c>
      <c r="E3" s="7">
        <v>1916.0</v>
      </c>
      <c r="F3" s="7">
        <v>1968.0</v>
      </c>
      <c r="G3" s="7">
        <v>1803.0</v>
      </c>
      <c r="H3" s="27">
        <f t="shared" ref="H3:I3" si="1">H39+(H40+H41)/42</f>
        <v>3096.833333</v>
      </c>
      <c r="I3" s="27">
        <f t="shared" si="1"/>
        <v>2905.166667</v>
      </c>
    </row>
    <row r="4">
      <c r="A4" s="7" t="s">
        <v>124</v>
      </c>
      <c r="B4" s="14">
        <f>B3*365/1000</f>
        <v>0</v>
      </c>
      <c r="C4" s="13">
        <v>1682.0</v>
      </c>
      <c r="D4" s="13">
        <v>1627.0</v>
      </c>
      <c r="E4" s="14">
        <f t="shared" ref="E4:I4" si="2">E3*365/1000</f>
        <v>699.34</v>
      </c>
      <c r="F4" s="14">
        <f t="shared" si="2"/>
        <v>718.32</v>
      </c>
      <c r="G4" s="14">
        <f t="shared" si="2"/>
        <v>658.095</v>
      </c>
      <c r="H4" s="14">
        <f t="shared" si="2"/>
        <v>1130.344167</v>
      </c>
      <c r="I4" s="14">
        <f t="shared" si="2"/>
        <v>1060.385833</v>
      </c>
      <c r="K4" s="14">
        <f t="shared" ref="K4:L4" si="3">(K42+K43)/0.1313/1000</f>
        <v>107.8750952</v>
      </c>
      <c r="L4" s="14">
        <f t="shared" si="3"/>
        <v>95.55978675</v>
      </c>
    </row>
    <row r="5">
      <c r="A5" s="10" t="s">
        <v>12</v>
      </c>
      <c r="B5" s="10">
        <v>179952.0</v>
      </c>
      <c r="C5" s="10">
        <v>120930.0</v>
      </c>
      <c r="D5" s="10">
        <v>69032.0</v>
      </c>
      <c r="E5" s="10">
        <v>175702.0</v>
      </c>
      <c r="F5" s="10">
        <v>114852.0</v>
      </c>
      <c r="G5" s="10">
        <v>65494.0</v>
      </c>
      <c r="H5" s="10">
        <v>176383.0</v>
      </c>
      <c r="I5" s="10">
        <v>113977.0</v>
      </c>
      <c r="J5" s="10">
        <v>64912.0</v>
      </c>
      <c r="K5" s="16">
        <f>25707*1.11</f>
        <v>28534.77</v>
      </c>
      <c r="L5" s="16">
        <f>15148*1.18</f>
        <v>17874.64</v>
      </c>
    </row>
    <row r="7">
      <c r="A7" s="7" t="s">
        <v>13</v>
      </c>
    </row>
    <row r="8">
      <c r="A8" s="10" t="s">
        <v>14</v>
      </c>
      <c r="B8" s="10">
        <v>16361.0</v>
      </c>
      <c r="C8" s="10">
        <v>4360.0</v>
      </c>
      <c r="D8" s="10">
        <v>2419.0</v>
      </c>
      <c r="E8" s="10">
        <v>10813.0</v>
      </c>
      <c r="F8" s="10">
        <v>6017.0</v>
      </c>
      <c r="G8" s="10">
        <v>2111.0</v>
      </c>
      <c r="H8" s="7">
        <v>12574.0</v>
      </c>
      <c r="I8" s="7">
        <v>5859.0</v>
      </c>
      <c r="J8" s="10">
        <v>948.0</v>
      </c>
    </row>
    <row r="9">
      <c r="A9" s="10" t="s">
        <v>15</v>
      </c>
      <c r="B9" s="10">
        <v>-2420.0</v>
      </c>
      <c r="C9" s="10">
        <v>-1464.0</v>
      </c>
      <c r="D9" s="10">
        <v>-2787.0</v>
      </c>
      <c r="E9" s="16">
        <f>-2194+125+4-75+662-10</f>
        <v>-1488</v>
      </c>
      <c r="F9" s="10">
        <v>-1872.0</v>
      </c>
      <c r="G9" s="10">
        <v>-3079.0</v>
      </c>
      <c r="H9" s="7">
        <v>-2805.0</v>
      </c>
      <c r="I9" s="7">
        <v>-2159.0</v>
      </c>
      <c r="J9" s="10">
        <v>-2425.0</v>
      </c>
    </row>
    <row r="10">
      <c r="A10" s="10" t="s">
        <v>16</v>
      </c>
      <c r="B10" s="16">
        <f>-413+90-405+515</f>
        <v>-213</v>
      </c>
      <c r="C10" s="16">
        <f>153-210+39</f>
        <v>-18</v>
      </c>
      <c r="D10" s="16">
        <f>150-485+137</f>
        <v>-198</v>
      </c>
      <c r="E10" s="16"/>
      <c r="F10" s="16"/>
      <c r="G10" s="16"/>
      <c r="J10" s="16"/>
    </row>
    <row r="11">
      <c r="A11" s="10" t="s">
        <v>63</v>
      </c>
      <c r="B11" s="16"/>
      <c r="C11" s="16"/>
      <c r="D11" s="16"/>
      <c r="E11" s="16"/>
      <c r="F11" s="16"/>
      <c r="G11" s="16"/>
      <c r="J11" s="16"/>
    </row>
    <row r="12">
      <c r="A12" s="10" t="s">
        <v>64</v>
      </c>
      <c r="B12" s="16"/>
      <c r="C12" s="16"/>
      <c r="D12" s="16"/>
      <c r="E12" s="16"/>
      <c r="F12" s="16"/>
      <c r="G12" s="16"/>
      <c r="J12" s="16"/>
    </row>
    <row r="13">
      <c r="A13" s="10" t="s">
        <v>65</v>
      </c>
      <c r="B13" s="16"/>
      <c r="C13" s="16"/>
      <c r="D13" s="16"/>
      <c r="E13" s="16"/>
      <c r="F13" s="16"/>
      <c r="G13" s="16"/>
      <c r="J13" s="16"/>
    </row>
    <row r="14">
      <c r="A14" s="10" t="s">
        <v>66</v>
      </c>
      <c r="B14" s="16"/>
      <c r="C14" s="16"/>
      <c r="D14" s="16"/>
      <c r="E14" s="16"/>
      <c r="F14" s="16"/>
      <c r="G14" s="16"/>
      <c r="J14" s="16"/>
    </row>
    <row r="15">
      <c r="A15" s="7" t="s">
        <v>17</v>
      </c>
      <c r="B15" s="12">
        <f>sum(B9:D10)/sum(B8:D8)</f>
        <v>-0.3068280035</v>
      </c>
      <c r="E15" s="12">
        <f>sum(E9:G10)/sum(E8:G8)</f>
        <v>-0.3399503722</v>
      </c>
      <c r="H15" s="12">
        <f>sum(H9:J10)/sum(H8:J8)</f>
        <v>-0.3812496775</v>
      </c>
    </row>
    <row r="16">
      <c r="A16" s="7"/>
    </row>
    <row r="17">
      <c r="A17" s="7" t="s">
        <v>18</v>
      </c>
    </row>
    <row r="18">
      <c r="A18" s="13" t="s">
        <v>19</v>
      </c>
      <c r="B18" s="14"/>
      <c r="C18" s="13">
        <v>3.3E7</v>
      </c>
      <c r="D18" s="13">
        <v>3.22E7</v>
      </c>
      <c r="E18" s="14"/>
      <c r="F18" s="13">
        <v>3.03E7</v>
      </c>
      <c r="G18" s="13">
        <v>2.55E7</v>
      </c>
      <c r="H18" s="14"/>
      <c r="I18" s="13">
        <v>2.37E7</v>
      </c>
      <c r="J18" s="13">
        <v>2.3E7</v>
      </c>
      <c r="K18" s="13">
        <v>2075000.0</v>
      </c>
      <c r="L18" s="13">
        <v>1828000.0</v>
      </c>
      <c r="M18" s="13">
        <v>2149000.0</v>
      </c>
      <c r="N18" s="14"/>
      <c r="O18" s="14"/>
      <c r="P18" s="14"/>
      <c r="Q18" s="14"/>
      <c r="R18" s="14"/>
      <c r="S18" s="14"/>
      <c r="T18" s="14"/>
      <c r="U18" s="14"/>
      <c r="V18" s="14"/>
      <c r="W18" s="14"/>
      <c r="X18" s="14"/>
      <c r="Y18" s="14"/>
      <c r="Z18" s="14"/>
    </row>
    <row r="19">
      <c r="A19" s="13" t="s">
        <v>20</v>
      </c>
      <c r="B19" s="14"/>
      <c r="C19" s="13">
        <v>6900000.0</v>
      </c>
      <c r="D19" s="13">
        <v>8000000.0</v>
      </c>
      <c r="E19" s="14"/>
      <c r="F19" s="13">
        <v>4500000.0</v>
      </c>
      <c r="G19" s="13">
        <v>4600000.0</v>
      </c>
      <c r="H19" s="14"/>
      <c r="I19" s="13">
        <v>4900000.0</v>
      </c>
      <c r="J19" s="13">
        <v>4500000.0</v>
      </c>
      <c r="K19" s="13">
        <v>391000.0</v>
      </c>
      <c r="L19" s="13">
        <v>509000.0</v>
      </c>
      <c r="M19" s="13">
        <v>736000.0</v>
      </c>
      <c r="N19" s="14"/>
      <c r="O19" s="14"/>
      <c r="P19" s="14"/>
      <c r="Q19" s="14"/>
      <c r="R19" s="14"/>
      <c r="S19" s="14"/>
      <c r="T19" s="14"/>
      <c r="U19" s="14"/>
      <c r="V19" s="14"/>
      <c r="W19" s="14"/>
      <c r="X19" s="14"/>
      <c r="Y19" s="14"/>
      <c r="Z19" s="14"/>
    </row>
    <row r="20">
      <c r="A20" s="13" t="s">
        <v>21</v>
      </c>
      <c r="B20" s="14"/>
      <c r="E20" s="14"/>
      <c r="F20" s="14"/>
      <c r="G20" s="14"/>
      <c r="H20" s="14"/>
      <c r="I20" s="14"/>
      <c r="J20" s="14"/>
      <c r="K20" s="14"/>
      <c r="L20" s="14"/>
      <c r="M20" s="14"/>
      <c r="N20" s="14"/>
      <c r="O20" s="14"/>
      <c r="P20" s="14"/>
      <c r="Q20" s="14"/>
      <c r="R20" s="14"/>
      <c r="S20" s="14"/>
      <c r="T20" s="14"/>
      <c r="U20" s="14"/>
      <c r="V20" s="14"/>
      <c r="W20" s="14"/>
      <c r="X20" s="14"/>
      <c r="Y20" s="14"/>
      <c r="Z20" s="14"/>
    </row>
    <row r="21">
      <c r="A21" s="13" t="s">
        <v>125</v>
      </c>
      <c r="B21" s="14"/>
      <c r="C21" s="14"/>
      <c r="D21" s="14"/>
      <c r="E21" s="14"/>
      <c r="F21" s="14"/>
      <c r="G21" s="14"/>
      <c r="H21" s="14"/>
      <c r="I21" s="14"/>
      <c r="J21" s="14"/>
      <c r="K21" s="13">
        <v>700000.0</v>
      </c>
      <c r="L21" s="13">
        <v>500000.0</v>
      </c>
      <c r="M21" s="13">
        <v>700000.0</v>
      </c>
      <c r="N21" s="14"/>
      <c r="O21" s="14"/>
      <c r="P21" s="14"/>
      <c r="Q21" s="14"/>
      <c r="R21" s="14"/>
      <c r="S21" s="14"/>
      <c r="T21" s="14"/>
      <c r="U21" s="14"/>
      <c r="V21" s="14"/>
      <c r="W21" s="14"/>
      <c r="X21" s="14"/>
      <c r="Y21" s="14"/>
      <c r="Z21" s="14"/>
    </row>
    <row r="22">
      <c r="A22" s="13" t="s">
        <v>126</v>
      </c>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c r="A23" s="13" t="s">
        <v>127</v>
      </c>
      <c r="B23" s="14"/>
      <c r="C23" s="13">
        <v>3.79E8</v>
      </c>
      <c r="D23" s="13">
        <v>3.52E8</v>
      </c>
      <c r="E23" s="14"/>
      <c r="F23" s="13">
        <v>3.5E8</v>
      </c>
      <c r="G23" s="13">
        <v>3.13E8</v>
      </c>
      <c r="H23" s="14"/>
      <c r="I23" s="14"/>
      <c r="J23" s="14"/>
      <c r="K23" s="13">
        <v>3.36E7</v>
      </c>
      <c r="L23" s="13">
        <v>2.76E7</v>
      </c>
      <c r="M23" s="13">
        <v>3.87E7</v>
      </c>
      <c r="N23" s="14"/>
      <c r="O23" s="14"/>
      <c r="P23" s="14"/>
      <c r="Q23" s="14"/>
      <c r="R23" s="14"/>
      <c r="S23" s="14"/>
      <c r="T23" s="14"/>
      <c r="U23" s="14"/>
      <c r="V23" s="14"/>
      <c r="W23" s="14"/>
      <c r="X23" s="14"/>
      <c r="Y23" s="14"/>
      <c r="Z23" s="14"/>
    </row>
    <row r="24">
      <c r="A24" s="13" t="s">
        <v>128</v>
      </c>
      <c r="B24" s="14"/>
      <c r="C24" s="13">
        <v>23500.0</v>
      </c>
      <c r="D24" s="13">
        <v>32700.0</v>
      </c>
      <c r="E24" s="14"/>
      <c r="F24" s="13">
        <v>500000.0</v>
      </c>
      <c r="G24" s="13">
        <v>500000.0</v>
      </c>
      <c r="H24" s="14"/>
      <c r="I24" s="14"/>
      <c r="J24" s="14"/>
      <c r="K24" s="14"/>
      <c r="L24" s="14"/>
      <c r="M24" s="14"/>
      <c r="N24" s="14"/>
      <c r="O24" s="14"/>
      <c r="P24" s="14"/>
      <c r="Q24" s="14"/>
      <c r="R24" s="14"/>
      <c r="S24" s="14"/>
      <c r="T24" s="14"/>
      <c r="U24" s="14"/>
      <c r="V24" s="14"/>
      <c r="W24" s="14"/>
      <c r="X24" s="14"/>
      <c r="Y24" s="14"/>
      <c r="Z24" s="14"/>
    </row>
    <row r="25">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c r="A26" s="13" t="s">
        <v>22</v>
      </c>
      <c r="B26" s="14"/>
      <c r="C26" s="14">
        <f t="shared" ref="C26:D26" si="4">sum(C18:C19)</f>
        <v>39900000</v>
      </c>
      <c r="D26" s="14">
        <f t="shared" si="4"/>
        <v>40200000</v>
      </c>
      <c r="E26" s="14"/>
      <c r="F26" s="14">
        <f t="shared" ref="F26:G26" si="5">sum(F18:F19)</f>
        <v>34800000</v>
      </c>
      <c r="G26" s="14">
        <f t="shared" si="5"/>
        <v>30100000</v>
      </c>
      <c r="H26" s="14"/>
      <c r="I26" s="14">
        <f t="shared" ref="I26:M26" si="6">sum(I18:I19)</f>
        <v>28600000</v>
      </c>
      <c r="J26" s="14">
        <f t="shared" si="6"/>
        <v>27500000</v>
      </c>
      <c r="K26" s="14">
        <f t="shared" si="6"/>
        <v>2466000</v>
      </c>
      <c r="L26" s="14">
        <f t="shared" si="6"/>
        <v>2337000</v>
      </c>
      <c r="M26" s="14">
        <f t="shared" si="6"/>
        <v>2885000</v>
      </c>
      <c r="N26" s="14"/>
      <c r="O26" s="14"/>
      <c r="P26" s="14"/>
      <c r="Q26" s="14"/>
      <c r="R26" s="14"/>
      <c r="S26" s="14"/>
      <c r="T26" s="14"/>
      <c r="U26" s="14"/>
      <c r="V26" s="14"/>
      <c r="W26" s="14"/>
      <c r="X26" s="14"/>
      <c r="Y26" s="14"/>
      <c r="Z26" s="14"/>
    </row>
    <row r="27">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c r="A28" s="13" t="s">
        <v>129</v>
      </c>
      <c r="B28" s="14"/>
      <c r="C28" s="14"/>
      <c r="D28" s="14"/>
      <c r="E28" s="14"/>
      <c r="F28" s="14">
        <f t="shared" ref="F28:G28" si="7">F23</f>
        <v>350000000</v>
      </c>
      <c r="G28" s="14">
        <f t="shared" si="7"/>
        <v>313000000</v>
      </c>
      <c r="H28" s="14"/>
      <c r="I28" s="14"/>
      <c r="J28" s="14"/>
      <c r="K28" s="14">
        <f t="shared" ref="K28:M28" si="8">K23</f>
        <v>33600000</v>
      </c>
      <c r="L28" s="14">
        <f t="shared" si="8"/>
        <v>27600000</v>
      </c>
      <c r="M28" s="14">
        <f t="shared" si="8"/>
        <v>38700000</v>
      </c>
      <c r="N28" s="14"/>
      <c r="O28" s="14"/>
      <c r="P28" s="14"/>
      <c r="Q28" s="14"/>
      <c r="R28" s="14"/>
      <c r="S28" s="14"/>
      <c r="T28" s="14"/>
      <c r="U28" s="14"/>
      <c r="V28" s="14"/>
      <c r="W28" s="14"/>
      <c r="X28" s="14"/>
      <c r="Y28" s="14"/>
      <c r="Z28" s="14"/>
    </row>
    <row r="30">
      <c r="A30" s="7" t="s">
        <v>23</v>
      </c>
      <c r="C30" s="15">
        <f t="shared" ref="C30:D30" si="9">C26/C5</f>
        <v>329.9429422</v>
      </c>
      <c r="D30" s="15">
        <f t="shared" si="9"/>
        <v>582.3386256</v>
      </c>
      <c r="F30" s="15">
        <f t="shared" ref="F30:G30" si="10">F26/F5</f>
        <v>302.9986417</v>
      </c>
      <c r="G30" s="15">
        <f t="shared" si="10"/>
        <v>459.584084</v>
      </c>
      <c r="I30" s="15">
        <f>I26/I5</f>
        <v>250.9278188</v>
      </c>
      <c r="K30" s="15">
        <f t="shared" ref="K30:L30" si="11">K26/K5</f>
        <v>86.42088231</v>
      </c>
      <c r="L30" s="15">
        <f t="shared" si="11"/>
        <v>130.7438919</v>
      </c>
    </row>
    <row r="31">
      <c r="A31" s="7" t="s">
        <v>24</v>
      </c>
    </row>
    <row r="33">
      <c r="A33" s="7" t="s">
        <v>132</v>
      </c>
      <c r="C33" s="28">
        <f t="shared" ref="C33:D33" si="12">C24/C4/1000000</f>
        <v>0.00001397146254</v>
      </c>
      <c r="D33" s="28">
        <f t="shared" si="12"/>
        <v>0.0000200983405</v>
      </c>
    </row>
    <row r="35">
      <c r="A35" s="13" t="s">
        <v>314</v>
      </c>
      <c r="B35" s="14"/>
      <c r="C35" s="17">
        <f t="shared" ref="C35:D35" si="13">(C18+C19)/C4/1000</f>
        <v>23.72175981</v>
      </c>
      <c r="D35" s="17">
        <f t="shared" si="13"/>
        <v>24.70805163</v>
      </c>
      <c r="E35" s="14"/>
      <c r="F35" s="17">
        <f t="shared" ref="F35:G35" si="14">(F18+F19)/F4/1000</f>
        <v>48.44637487</v>
      </c>
      <c r="G35" s="17">
        <f t="shared" si="14"/>
        <v>45.73807733</v>
      </c>
      <c r="I35" s="17">
        <f>(I18+I19)/I4/1000</f>
        <v>26.97131469</v>
      </c>
      <c r="J35" s="17"/>
      <c r="K35" s="17">
        <f t="shared" ref="K35:L35" si="15">(K18+K19)/K4/1000</f>
        <v>22.85977125</v>
      </c>
      <c r="L35" s="17">
        <f t="shared" si="15"/>
        <v>24.45589384</v>
      </c>
    </row>
    <row r="36">
      <c r="A36" s="7" t="s">
        <v>315</v>
      </c>
      <c r="C36" s="27">
        <f t="shared" ref="C36:D36" si="16">C23/C4/1000</f>
        <v>225.3269917</v>
      </c>
      <c r="D36" s="27">
        <f t="shared" si="16"/>
        <v>216.3491088</v>
      </c>
      <c r="F36" s="14">
        <f>F28/F4/1000</f>
        <v>487.2480232</v>
      </c>
      <c r="K36" s="27">
        <f t="shared" ref="K36:L36" si="17">K23/K4/1000</f>
        <v>311.4713358</v>
      </c>
      <c r="L36" s="27">
        <f t="shared" si="17"/>
        <v>288.8244202</v>
      </c>
    </row>
    <row r="38">
      <c r="A38" s="7" t="s">
        <v>316</v>
      </c>
    </row>
    <row r="39">
      <c r="A39" s="13" t="s">
        <v>317</v>
      </c>
      <c r="B39" s="14"/>
      <c r="C39" s="14"/>
      <c r="D39" s="14"/>
      <c r="E39" s="14"/>
      <c r="F39" s="14"/>
      <c r="G39" s="14"/>
      <c r="H39" s="13">
        <v>2953.0</v>
      </c>
      <c r="I39" s="13">
        <v>2787.0</v>
      </c>
      <c r="J39" s="14"/>
      <c r="K39" s="14"/>
      <c r="L39" s="14"/>
      <c r="M39" s="14"/>
      <c r="N39" s="14"/>
      <c r="O39" s="14"/>
      <c r="P39" s="14"/>
      <c r="Q39" s="14"/>
      <c r="R39" s="14"/>
      <c r="S39" s="14"/>
      <c r="T39" s="14"/>
      <c r="U39" s="14"/>
      <c r="V39" s="14"/>
      <c r="W39" s="14"/>
      <c r="X39" s="14"/>
      <c r="Y39" s="14"/>
      <c r="Z39" s="14"/>
    </row>
    <row r="40">
      <c r="A40" s="13" t="s">
        <v>318</v>
      </c>
      <c r="B40" s="14"/>
      <c r="C40" s="14"/>
      <c r="D40" s="14"/>
      <c r="E40" s="14"/>
      <c r="F40" s="14"/>
      <c r="G40" s="14"/>
      <c r="H40" s="13">
        <v>2175.0</v>
      </c>
      <c r="I40" s="13">
        <v>1014.0</v>
      </c>
      <c r="J40" s="14"/>
      <c r="K40" s="14"/>
      <c r="L40" s="14"/>
      <c r="M40" s="14"/>
      <c r="N40" s="14"/>
      <c r="O40" s="14"/>
      <c r="P40" s="14"/>
      <c r="Q40" s="14"/>
      <c r="R40" s="14"/>
      <c r="S40" s="14"/>
      <c r="T40" s="14"/>
      <c r="U40" s="14"/>
      <c r="V40" s="14"/>
      <c r="W40" s="14"/>
      <c r="X40" s="14"/>
      <c r="Y40" s="14"/>
      <c r="Z40" s="14"/>
    </row>
    <row r="41">
      <c r="A41" s="13" t="s">
        <v>319</v>
      </c>
      <c r="B41" s="14"/>
      <c r="C41" s="14"/>
      <c r="D41" s="14"/>
      <c r="E41" s="14"/>
      <c r="F41" s="14"/>
      <c r="G41" s="14"/>
      <c r="H41" s="13">
        <v>3866.0</v>
      </c>
      <c r="I41" s="13">
        <v>3949.0</v>
      </c>
      <c r="J41" s="14"/>
      <c r="K41" s="14"/>
      <c r="L41" s="14"/>
      <c r="M41" s="14"/>
      <c r="N41" s="14"/>
      <c r="O41" s="14"/>
      <c r="P41" s="14"/>
      <c r="Q41" s="14"/>
      <c r="R41" s="14"/>
      <c r="S41" s="14"/>
      <c r="T41" s="14"/>
      <c r="U41" s="14"/>
      <c r="V41" s="14"/>
      <c r="W41" s="14"/>
      <c r="X41" s="14"/>
      <c r="Y41" s="14"/>
      <c r="Z41" s="14"/>
    </row>
    <row r="42">
      <c r="A42" s="7" t="s">
        <v>320</v>
      </c>
      <c r="K42" s="7">
        <v>2988.0</v>
      </c>
      <c r="L42" s="7">
        <v>3043.0</v>
      </c>
    </row>
    <row r="43">
      <c r="A43" s="7" t="s">
        <v>321</v>
      </c>
      <c r="K43" s="7">
        <v>11176.0</v>
      </c>
      <c r="L43" s="7">
        <v>9504.0</v>
      </c>
    </row>
    <row r="47">
      <c r="A47" s="7" t="s">
        <v>26</v>
      </c>
      <c r="C47" s="7" t="s">
        <v>322</v>
      </c>
      <c r="F47" s="7" t="s">
        <v>27</v>
      </c>
      <c r="I47" s="7" t="s">
        <v>27</v>
      </c>
    </row>
    <row r="48">
      <c r="A48" s="7" t="s">
        <v>28</v>
      </c>
      <c r="F48" s="7" t="s">
        <v>323</v>
      </c>
      <c r="I48" s="7" t="s">
        <v>324</v>
      </c>
      <c r="K48" s="7" t="s">
        <v>325</v>
      </c>
    </row>
    <row r="49">
      <c r="A49" s="7" t="s">
        <v>31</v>
      </c>
      <c r="F49" s="7" t="s">
        <v>78</v>
      </c>
      <c r="I49" s="7"/>
    </row>
    <row r="50">
      <c r="A50" s="7" t="s">
        <v>34</v>
      </c>
      <c r="C50" s="7" t="s">
        <v>326</v>
      </c>
      <c r="F50" s="7" t="s">
        <v>327</v>
      </c>
      <c r="I50" s="7" t="s">
        <v>326</v>
      </c>
      <c r="K50" s="7" t="s">
        <v>328</v>
      </c>
    </row>
    <row r="51">
      <c r="A51" s="7" t="s">
        <v>38</v>
      </c>
      <c r="C51" s="7" t="s">
        <v>329</v>
      </c>
      <c r="F51" s="7" t="s">
        <v>330</v>
      </c>
      <c r="I51" s="7" t="s">
        <v>331</v>
      </c>
      <c r="K51" s="7" t="s">
        <v>332</v>
      </c>
    </row>
    <row r="54">
      <c r="A54" s="7" t="s">
        <v>41</v>
      </c>
      <c r="B54" s="7" t="s">
        <v>333</v>
      </c>
      <c r="E54" s="7" t="s">
        <v>334</v>
      </c>
      <c r="H54" s="7" t="s">
        <v>335</v>
      </c>
      <c r="K54" s="7" t="s">
        <v>336</v>
      </c>
    </row>
    <row r="55">
      <c r="B55" s="7" t="s">
        <v>337</v>
      </c>
      <c r="E55" s="7" t="s">
        <v>338</v>
      </c>
      <c r="H55" s="7" t="s">
        <v>339</v>
      </c>
      <c r="K55" s="7" t="s">
        <v>340</v>
      </c>
    </row>
    <row r="56">
      <c r="B56" s="7" t="s">
        <v>341</v>
      </c>
      <c r="E56" s="7" t="s">
        <v>342</v>
      </c>
      <c r="K56" s="7" t="s">
        <v>343</v>
      </c>
    </row>
    <row r="57">
      <c r="B57" s="7" t="s">
        <v>344</v>
      </c>
      <c r="K57" s="7" t="s">
        <v>345</v>
      </c>
    </row>
    <row r="74">
      <c r="A74" s="7" t="s">
        <v>48</v>
      </c>
      <c r="B74" s="7" t="s">
        <v>346</v>
      </c>
      <c r="E74" s="7" t="s">
        <v>347</v>
      </c>
      <c r="H74" s="7" t="s">
        <v>348</v>
      </c>
      <c r="K74" s="7" t="s">
        <v>349</v>
      </c>
    </row>
    <row r="76">
      <c r="B76" s="7" t="s">
        <v>350</v>
      </c>
      <c r="E76" s="7" t="s">
        <v>351</v>
      </c>
      <c r="H76" s="7" t="s">
        <v>352</v>
      </c>
      <c r="K76" s="7" t="s">
        <v>353</v>
      </c>
    </row>
    <row r="77">
      <c r="E77" s="7" t="s">
        <v>354</v>
      </c>
      <c r="H77" s="7" t="s">
        <v>355</v>
      </c>
      <c r="K77" s="7" t="s">
        <v>356</v>
      </c>
    </row>
    <row r="78">
      <c r="E78" s="7" t="s">
        <v>357</v>
      </c>
      <c r="H78" s="7" t="s">
        <v>358</v>
      </c>
      <c r="K78" s="7" t="s">
        <v>359</v>
      </c>
    </row>
    <row r="79">
      <c r="H79" s="7" t="s">
        <v>360</v>
      </c>
      <c r="K79" s="7" t="s">
        <v>361</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4.75"/>
    <col customWidth="1" min="2" max="2" width="20.25"/>
    <col customWidth="1" min="3" max="3" width="20.5"/>
    <col customWidth="1" min="4" max="4" width="21.25"/>
    <col customWidth="1" min="5" max="5" width="21.5"/>
    <col customWidth="1" min="6" max="6" width="22.5"/>
    <col customWidth="1" min="7" max="7" width="22.13"/>
    <col customWidth="1" min="9" max="9" width="54.88"/>
  </cols>
  <sheetData>
    <row r="1">
      <c r="A1" s="29" t="s">
        <v>362</v>
      </c>
      <c r="B1" s="29">
        <v>0.0</v>
      </c>
      <c r="C1" s="29">
        <v>1.0</v>
      </c>
      <c r="D1" s="29">
        <v>2.0</v>
      </c>
      <c r="E1" s="29">
        <v>3.0</v>
      </c>
      <c r="F1" s="29">
        <v>4.0</v>
      </c>
      <c r="G1" s="29">
        <v>5.0</v>
      </c>
      <c r="H1" s="30"/>
      <c r="I1" s="30"/>
      <c r="J1" s="30"/>
      <c r="K1" s="30"/>
      <c r="L1" s="30"/>
      <c r="M1" s="30"/>
      <c r="N1" s="30"/>
      <c r="O1" s="30"/>
      <c r="P1" s="30"/>
      <c r="Q1" s="30"/>
      <c r="R1" s="30"/>
      <c r="S1" s="30"/>
      <c r="T1" s="30"/>
      <c r="U1" s="30"/>
      <c r="V1" s="30"/>
      <c r="W1" s="30"/>
      <c r="X1" s="30"/>
      <c r="Y1" s="30"/>
      <c r="Z1" s="30"/>
    </row>
    <row r="2">
      <c r="B2" s="7" t="s">
        <v>363</v>
      </c>
      <c r="C2" s="7" t="s">
        <v>364</v>
      </c>
      <c r="D2" s="7" t="s">
        <v>365</v>
      </c>
      <c r="E2" s="7" t="s">
        <v>366</v>
      </c>
      <c r="F2" s="7" t="s">
        <v>367</v>
      </c>
      <c r="G2" s="7" t="s">
        <v>368</v>
      </c>
      <c r="I2" s="31" t="s">
        <v>369</v>
      </c>
    </row>
    <row r="3">
      <c r="B3" s="32"/>
      <c r="C3" s="32"/>
      <c r="D3" s="33" t="s">
        <v>370</v>
      </c>
      <c r="E3" s="33" t="s">
        <v>371</v>
      </c>
      <c r="F3" s="33" t="s">
        <v>372</v>
      </c>
      <c r="G3" s="33" t="s">
        <v>373</v>
      </c>
    </row>
    <row r="4">
      <c r="B4" s="32"/>
      <c r="C4" s="32"/>
      <c r="D4" s="32"/>
      <c r="E4" s="32"/>
      <c r="F4" s="32"/>
      <c r="G4" s="32"/>
    </row>
    <row r="5">
      <c r="A5" s="29" t="s">
        <v>374</v>
      </c>
      <c r="B5" s="32"/>
      <c r="C5" s="32"/>
      <c r="D5" s="32"/>
      <c r="E5" s="32"/>
      <c r="F5" s="32"/>
      <c r="G5" s="32"/>
      <c r="H5" s="29" t="s">
        <v>375</v>
      </c>
    </row>
    <row r="6">
      <c r="A6" s="29" t="s">
        <v>376</v>
      </c>
      <c r="B6" s="33" t="s">
        <v>82</v>
      </c>
      <c r="C6" s="33" t="s">
        <v>377</v>
      </c>
      <c r="D6" s="33" t="s">
        <v>378</v>
      </c>
      <c r="E6" s="33" t="s">
        <v>379</v>
      </c>
      <c r="F6" s="33" t="s">
        <v>380</v>
      </c>
      <c r="G6" s="33" t="s">
        <v>381</v>
      </c>
      <c r="H6" s="7">
        <v>2.0</v>
      </c>
      <c r="I6" s="33" t="s">
        <v>382</v>
      </c>
    </row>
    <row r="7">
      <c r="A7" s="29" t="s">
        <v>48</v>
      </c>
      <c r="B7" s="33" t="s">
        <v>383</v>
      </c>
      <c r="C7" s="33" t="s">
        <v>384</v>
      </c>
      <c r="D7" s="33" t="s">
        <v>385</v>
      </c>
      <c r="E7" s="33" t="s">
        <v>386</v>
      </c>
      <c r="F7" s="33" t="s">
        <v>387</v>
      </c>
      <c r="G7" s="33" t="s">
        <v>388</v>
      </c>
      <c r="H7" s="7">
        <v>2.0</v>
      </c>
      <c r="I7" s="33" t="s">
        <v>389</v>
      </c>
    </row>
    <row r="8">
      <c r="A8" s="29" t="s">
        <v>390</v>
      </c>
      <c r="B8" s="33" t="s">
        <v>391</v>
      </c>
      <c r="C8" s="32"/>
      <c r="D8" s="32"/>
      <c r="E8" s="33" t="s">
        <v>392</v>
      </c>
      <c r="F8" s="32"/>
      <c r="G8" s="33" t="s">
        <v>393</v>
      </c>
      <c r="H8" s="7">
        <v>4.0</v>
      </c>
      <c r="I8" s="33" t="s">
        <v>394</v>
      </c>
    </row>
    <row r="9">
      <c r="A9" s="29" t="s">
        <v>395</v>
      </c>
      <c r="B9" s="33" t="s">
        <v>396</v>
      </c>
      <c r="C9" s="33" t="s">
        <v>397</v>
      </c>
      <c r="D9" s="33"/>
      <c r="E9" s="33" t="s">
        <v>398</v>
      </c>
      <c r="F9" s="33" t="s">
        <v>399</v>
      </c>
      <c r="G9" s="33" t="s">
        <v>400</v>
      </c>
      <c r="H9" s="7">
        <v>2.0</v>
      </c>
      <c r="I9" s="33" t="s">
        <v>401</v>
      </c>
    </row>
    <row r="10">
      <c r="B10" s="32"/>
      <c r="C10" s="32"/>
      <c r="D10" s="32"/>
      <c r="E10" s="32"/>
      <c r="F10" s="32"/>
      <c r="G10" s="32"/>
    </row>
    <row r="11">
      <c r="A11" s="29" t="s">
        <v>402</v>
      </c>
      <c r="B11" s="29" t="s">
        <v>403</v>
      </c>
      <c r="C11" s="34" t="s">
        <v>376</v>
      </c>
      <c r="D11" s="34" t="s">
        <v>48</v>
      </c>
      <c r="E11" s="34" t="s">
        <v>390</v>
      </c>
      <c r="F11" s="34" t="s">
        <v>395</v>
      </c>
      <c r="G11" s="34" t="s">
        <v>404</v>
      </c>
      <c r="H11" s="29"/>
      <c r="I11" s="7" t="s">
        <v>105</v>
      </c>
    </row>
    <row r="12">
      <c r="A12" s="7" t="s">
        <v>8</v>
      </c>
      <c r="B12" s="33" t="s">
        <v>405</v>
      </c>
      <c r="C12" s="33">
        <v>3.0</v>
      </c>
      <c r="D12" s="33">
        <v>4.0</v>
      </c>
      <c r="E12" s="33">
        <v>3.0</v>
      </c>
      <c r="F12" s="33">
        <v>5.0</v>
      </c>
      <c r="G12" s="32">
        <f t="shared" ref="G12:G35" si="1">$H$6*C12+$H$7*D12+$H$8*E12+$H$9*F12</f>
        <v>36</v>
      </c>
      <c r="I12" s="7" t="s">
        <v>406</v>
      </c>
    </row>
    <row r="13">
      <c r="A13" s="7" t="s">
        <v>9</v>
      </c>
      <c r="B13" s="33" t="s">
        <v>405</v>
      </c>
      <c r="C13" s="33">
        <v>4.0</v>
      </c>
      <c r="D13" s="33">
        <v>4.0</v>
      </c>
      <c r="E13" s="33">
        <v>4.0</v>
      </c>
      <c r="F13" s="33">
        <v>5.0</v>
      </c>
      <c r="G13" s="32">
        <f t="shared" si="1"/>
        <v>42</v>
      </c>
      <c r="I13" s="7" t="s">
        <v>407</v>
      </c>
    </row>
    <row r="14">
      <c r="A14" s="7" t="s">
        <v>10</v>
      </c>
      <c r="B14" s="7" t="s">
        <v>405</v>
      </c>
      <c r="C14" s="7">
        <v>4.0</v>
      </c>
      <c r="D14" s="7">
        <v>4.0</v>
      </c>
      <c r="E14" s="7">
        <v>5.0</v>
      </c>
      <c r="F14" s="7">
        <v>5.0</v>
      </c>
      <c r="G14" s="32">
        <f t="shared" si="1"/>
        <v>46</v>
      </c>
      <c r="I14" s="7" t="s">
        <v>408</v>
      </c>
    </row>
    <row r="15">
      <c r="A15" s="7" t="s">
        <v>59</v>
      </c>
      <c r="B15" s="7" t="s">
        <v>409</v>
      </c>
      <c r="C15" s="7">
        <v>3.0</v>
      </c>
      <c r="D15" s="7">
        <v>4.0</v>
      </c>
      <c r="E15" s="7">
        <v>3.0</v>
      </c>
      <c r="F15" s="7">
        <v>4.0</v>
      </c>
      <c r="G15" s="32">
        <f t="shared" si="1"/>
        <v>34</v>
      </c>
    </row>
    <row r="16">
      <c r="A16" s="7" t="s">
        <v>60</v>
      </c>
      <c r="B16" s="7" t="s">
        <v>409</v>
      </c>
      <c r="C16" s="7">
        <v>3.0</v>
      </c>
      <c r="D16" s="7">
        <v>2.0</v>
      </c>
      <c r="E16" s="7">
        <v>2.0</v>
      </c>
      <c r="F16" s="7">
        <v>4.0</v>
      </c>
      <c r="G16" s="32">
        <f t="shared" si="1"/>
        <v>26</v>
      </c>
      <c r="I16" s="7" t="s">
        <v>410</v>
      </c>
    </row>
    <row r="17">
      <c r="A17" s="7" t="s">
        <v>61</v>
      </c>
      <c r="B17" s="7" t="s">
        <v>409</v>
      </c>
      <c r="C17" s="7">
        <v>3.0</v>
      </c>
      <c r="D17" s="7">
        <v>3.0</v>
      </c>
      <c r="E17" s="7">
        <v>4.0</v>
      </c>
      <c r="F17" s="7">
        <v>4.0</v>
      </c>
      <c r="G17" s="32">
        <f t="shared" si="1"/>
        <v>36</v>
      </c>
      <c r="I17" s="7" t="s">
        <v>411</v>
      </c>
    </row>
    <row r="18">
      <c r="A18" s="7" t="s">
        <v>62</v>
      </c>
      <c r="B18" s="7" t="s">
        <v>409</v>
      </c>
      <c r="C18" s="7">
        <v>1.0</v>
      </c>
      <c r="D18" s="7">
        <v>2.0</v>
      </c>
      <c r="E18" s="7">
        <v>2.0</v>
      </c>
      <c r="F18" s="7">
        <v>4.0</v>
      </c>
      <c r="G18" s="32">
        <f t="shared" si="1"/>
        <v>22</v>
      </c>
    </row>
    <row r="19">
      <c r="A19" s="7" t="s">
        <v>110</v>
      </c>
      <c r="B19" s="7" t="s">
        <v>412</v>
      </c>
      <c r="C19" s="7">
        <v>3.0</v>
      </c>
      <c r="D19" s="7">
        <v>4.0</v>
      </c>
      <c r="E19" s="7">
        <v>4.0</v>
      </c>
      <c r="F19" s="7">
        <v>3.0</v>
      </c>
      <c r="G19" s="32">
        <f t="shared" si="1"/>
        <v>36</v>
      </c>
      <c r="I19" s="7" t="s">
        <v>413</v>
      </c>
    </row>
    <row r="20">
      <c r="A20" s="7" t="s">
        <v>111</v>
      </c>
      <c r="B20" s="7" t="s">
        <v>414</v>
      </c>
      <c r="C20" s="7">
        <v>4.0</v>
      </c>
      <c r="D20" s="7">
        <v>5.0</v>
      </c>
      <c r="E20" s="7">
        <v>2.0</v>
      </c>
      <c r="F20" s="7">
        <v>3.0</v>
      </c>
      <c r="G20" s="32">
        <f t="shared" si="1"/>
        <v>32</v>
      </c>
      <c r="I20" s="7" t="s">
        <v>415</v>
      </c>
    </row>
    <row r="21">
      <c r="A21" s="7" t="s">
        <v>416</v>
      </c>
      <c r="B21" s="7" t="s">
        <v>414</v>
      </c>
      <c r="C21" s="7">
        <v>3.0</v>
      </c>
      <c r="D21" s="7">
        <v>2.0</v>
      </c>
      <c r="E21" s="7">
        <v>1.0</v>
      </c>
      <c r="F21" s="7">
        <v>3.0</v>
      </c>
      <c r="G21" s="32">
        <f t="shared" si="1"/>
        <v>20</v>
      </c>
    </row>
    <row r="22">
      <c r="A22" s="7" t="s">
        <v>113</v>
      </c>
      <c r="B22" s="7" t="s">
        <v>414</v>
      </c>
      <c r="C22" s="7">
        <v>5.0</v>
      </c>
      <c r="D22" s="7">
        <v>4.0</v>
      </c>
      <c r="E22" s="7">
        <v>3.0</v>
      </c>
      <c r="F22" s="7">
        <v>3.0</v>
      </c>
      <c r="G22" s="32">
        <f t="shared" si="1"/>
        <v>36</v>
      </c>
      <c r="I22" s="7" t="s">
        <v>417</v>
      </c>
    </row>
    <row r="23">
      <c r="A23" s="7" t="s">
        <v>418</v>
      </c>
      <c r="B23" s="7" t="s">
        <v>412</v>
      </c>
      <c r="C23" s="7">
        <v>2.0</v>
      </c>
      <c r="D23" s="7">
        <v>3.0</v>
      </c>
      <c r="E23" s="7">
        <v>3.0</v>
      </c>
      <c r="F23" s="7">
        <v>3.0</v>
      </c>
      <c r="G23" s="32">
        <f t="shared" si="1"/>
        <v>28</v>
      </c>
    </row>
    <row r="24">
      <c r="A24" s="7" t="s">
        <v>115</v>
      </c>
      <c r="B24" s="7" t="s">
        <v>412</v>
      </c>
      <c r="C24" s="7">
        <v>4.0</v>
      </c>
      <c r="D24" s="7">
        <v>2.0</v>
      </c>
      <c r="E24" s="7">
        <v>3.0</v>
      </c>
      <c r="F24" s="7">
        <v>3.0</v>
      </c>
      <c r="G24" s="32">
        <f t="shared" si="1"/>
        <v>30</v>
      </c>
    </row>
    <row r="25">
      <c r="A25" s="7" t="s">
        <v>116</v>
      </c>
      <c r="B25" s="7" t="s">
        <v>412</v>
      </c>
      <c r="C25" s="7">
        <v>3.0</v>
      </c>
      <c r="D25" s="7">
        <v>3.0</v>
      </c>
      <c r="E25" s="7">
        <v>3.0</v>
      </c>
      <c r="F25" s="7">
        <v>3.0</v>
      </c>
      <c r="G25" s="32">
        <f t="shared" si="1"/>
        <v>30</v>
      </c>
    </row>
    <row r="26">
      <c r="A26" s="7" t="s">
        <v>117</v>
      </c>
      <c r="B26" s="7" t="s">
        <v>414</v>
      </c>
      <c r="C26" s="7">
        <v>2.0</v>
      </c>
      <c r="D26" s="7">
        <v>3.0</v>
      </c>
      <c r="E26" s="7">
        <v>3.0</v>
      </c>
      <c r="F26" s="7">
        <v>3.0</v>
      </c>
      <c r="G26" s="32">
        <f t="shared" si="1"/>
        <v>28</v>
      </c>
    </row>
    <row r="27">
      <c r="A27" s="7" t="s">
        <v>118</v>
      </c>
      <c r="B27" s="7" t="s">
        <v>412</v>
      </c>
      <c r="C27" s="7">
        <v>2.0</v>
      </c>
      <c r="D27" s="7">
        <v>3.0</v>
      </c>
      <c r="E27" s="7">
        <v>4.0</v>
      </c>
      <c r="F27" s="7">
        <v>3.0</v>
      </c>
      <c r="G27" s="32">
        <f t="shared" si="1"/>
        <v>32</v>
      </c>
    </row>
    <row r="28">
      <c r="A28" s="7" t="s">
        <v>119</v>
      </c>
      <c r="B28" s="7" t="s">
        <v>412</v>
      </c>
      <c r="C28" s="7">
        <v>1.0</v>
      </c>
      <c r="D28" s="7">
        <v>1.0</v>
      </c>
      <c r="E28" s="7">
        <v>3.0</v>
      </c>
      <c r="F28" s="7">
        <v>3.0</v>
      </c>
      <c r="G28" s="32">
        <f t="shared" si="1"/>
        <v>22</v>
      </c>
    </row>
    <row r="29">
      <c r="A29" s="7" t="s">
        <v>120</v>
      </c>
      <c r="B29" s="7" t="s">
        <v>412</v>
      </c>
      <c r="C29" s="7">
        <v>1.0</v>
      </c>
      <c r="D29" s="7">
        <v>1.0</v>
      </c>
      <c r="E29" s="7">
        <v>2.0</v>
      </c>
      <c r="F29" s="7">
        <v>3.0</v>
      </c>
      <c r="G29" s="32">
        <f t="shared" si="1"/>
        <v>18</v>
      </c>
    </row>
    <row r="30">
      <c r="A30" s="7" t="s">
        <v>121</v>
      </c>
      <c r="B30" s="7" t="s">
        <v>412</v>
      </c>
      <c r="C30" s="7">
        <v>1.0</v>
      </c>
      <c r="D30" s="7">
        <v>4.0</v>
      </c>
      <c r="E30" s="7">
        <v>5.0</v>
      </c>
      <c r="F30" s="7">
        <v>4.0</v>
      </c>
      <c r="G30" s="32">
        <f t="shared" si="1"/>
        <v>38</v>
      </c>
      <c r="I30" s="7" t="s">
        <v>419</v>
      </c>
    </row>
    <row r="31">
      <c r="A31" s="7" t="s">
        <v>122</v>
      </c>
      <c r="B31" s="7" t="s">
        <v>412</v>
      </c>
      <c r="C31" s="7">
        <v>1.0</v>
      </c>
      <c r="D31" s="7">
        <v>3.0</v>
      </c>
      <c r="E31" s="7">
        <v>4.0</v>
      </c>
      <c r="F31" s="7">
        <v>4.0</v>
      </c>
      <c r="G31" s="32">
        <f t="shared" si="1"/>
        <v>32</v>
      </c>
    </row>
    <row r="32">
      <c r="A32" s="7" t="s">
        <v>310</v>
      </c>
      <c r="B32" s="7" t="s">
        <v>420</v>
      </c>
      <c r="C32" s="7">
        <v>3.0</v>
      </c>
      <c r="D32" s="7">
        <v>4.0</v>
      </c>
      <c r="E32" s="7">
        <v>3.0</v>
      </c>
      <c r="F32" s="7">
        <v>4.0</v>
      </c>
      <c r="G32" s="32">
        <f t="shared" si="1"/>
        <v>34</v>
      </c>
    </row>
    <row r="33">
      <c r="A33" s="7" t="s">
        <v>311</v>
      </c>
      <c r="B33" s="7" t="s">
        <v>420</v>
      </c>
      <c r="C33" s="7">
        <v>3.0</v>
      </c>
      <c r="D33" s="7">
        <v>3.0</v>
      </c>
      <c r="E33" s="7">
        <v>2.0</v>
      </c>
      <c r="F33" s="7">
        <v>4.0</v>
      </c>
      <c r="G33" s="32">
        <f t="shared" si="1"/>
        <v>28</v>
      </c>
    </row>
    <row r="34">
      <c r="A34" s="7" t="s">
        <v>312</v>
      </c>
      <c r="B34" s="7" t="s">
        <v>420</v>
      </c>
      <c r="C34" s="7">
        <v>2.0</v>
      </c>
      <c r="D34" s="7">
        <v>4.0</v>
      </c>
      <c r="E34" s="7">
        <v>3.0</v>
      </c>
      <c r="F34" s="7">
        <v>4.0</v>
      </c>
      <c r="G34" s="32">
        <f t="shared" si="1"/>
        <v>32</v>
      </c>
    </row>
    <row r="35">
      <c r="A35" s="7" t="s">
        <v>313</v>
      </c>
      <c r="B35" s="7" t="s">
        <v>420</v>
      </c>
      <c r="C35" s="7">
        <v>3.0</v>
      </c>
      <c r="D35" s="7">
        <v>4.0</v>
      </c>
      <c r="E35" s="7">
        <v>3.0</v>
      </c>
      <c r="F35" s="7">
        <v>4.0</v>
      </c>
      <c r="G35" s="32">
        <f t="shared" si="1"/>
        <v>34</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 t="s">
        <v>105</v>
      </c>
    </row>
    <row r="2">
      <c r="A2" s="7" t="s">
        <v>421</v>
      </c>
    </row>
    <row r="3">
      <c r="A3" s="7" t="s">
        <v>422</v>
      </c>
    </row>
    <row r="5">
      <c r="A5" s="7" t="s">
        <v>423</v>
      </c>
    </row>
    <row r="6">
      <c r="A6" s="7" t="s">
        <v>424</v>
      </c>
    </row>
    <row r="7">
      <c r="A7" s="22" t="s">
        <v>425</v>
      </c>
    </row>
  </sheetData>
  <hyperlinks>
    <hyperlink r:id="rId1" ref="A7"/>
  </hyperlinks>
  <drawing r:id="rId2"/>
</worksheet>
</file>